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W:\$ AviaGlobalGroup\AGG Client Info\Peregrine\"/>
    </mc:Choice>
  </mc:AlternateContent>
  <xr:revisionPtr revIDLastSave="0" documentId="13_ncr:1_{D7514DB8-C602-440F-8A7D-87ADD81B6DE4}" xr6:coauthVersionLast="47" xr6:coauthVersionMax="47" xr10:uidLastSave="{00000000-0000-0000-0000-000000000000}"/>
  <bookViews>
    <workbookView xWindow="-120" yWindow="-120" windowWidth="19440" windowHeight="15000" activeTab="1" xr2:uid="{8A0FD0FE-52DB-4A59-BE59-94B097F89D5C}"/>
  </bookViews>
  <sheets>
    <sheet name="Cheat Sheet" sheetId="1" r:id="rId1"/>
    <sheet name="Sheet1" sheetId="6" r:id="rId2"/>
    <sheet name="Sheet3" sheetId="3" r:id="rId3"/>
    <sheet name="Sheet2" sheetId="2" r:id="rId4"/>
    <sheet name="Analytics" sheetId="4" r:id="rId5"/>
    <sheet name="Press Releases" sheetId="5" r:id="rId6"/>
  </sheets>
  <definedNames>
    <definedName name="_xlnm._FilterDatabase" localSheetId="0" hidden="1">'Cheat Sheet'!$C$1:$D$28</definedName>
    <definedName name="_xlnm._FilterDatabase" localSheetId="1" hidden="1">Sheet1!$A$1:$D$32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6" l="1"/>
  <c r="D30" i="6"/>
  <c r="D29" i="6"/>
  <c r="D26" i="6"/>
  <c r="D25" i="6"/>
  <c r="D23" i="6"/>
  <c r="D21" i="6"/>
  <c r="D20" i="6"/>
  <c r="D19" i="6"/>
  <c r="D17" i="6"/>
  <c r="D16" i="6"/>
  <c r="D15" i="6"/>
  <c r="D14" i="6"/>
  <c r="D13" i="6"/>
  <c r="D12" i="6"/>
  <c r="D10" i="6"/>
  <c r="D9" i="6"/>
  <c r="D6" i="6"/>
  <c r="D5" i="6"/>
  <c r="D4" i="6"/>
  <c r="D3" i="6"/>
  <c r="D2" i="6"/>
  <c r="A7" i="6"/>
  <c r="A8" i="6"/>
  <c r="A11" i="6"/>
  <c r="A18" i="6"/>
  <c r="A22" i="6"/>
  <c r="A27" i="6"/>
  <c r="A28" i="6"/>
  <c r="A31" i="6"/>
  <c r="C32" i="6"/>
  <c r="C30" i="6"/>
  <c r="C29" i="6"/>
  <c r="C26" i="6"/>
  <c r="C25" i="6"/>
  <c r="C24" i="6"/>
  <c r="C23" i="6"/>
  <c r="C21" i="6"/>
  <c r="C20" i="6"/>
  <c r="C19" i="6"/>
  <c r="C17" i="6"/>
  <c r="C16" i="6"/>
  <c r="C15" i="6"/>
  <c r="C14" i="6"/>
  <c r="C13" i="6"/>
  <c r="C12" i="6"/>
  <c r="C10" i="6"/>
  <c r="C9" i="6"/>
  <c r="C6" i="6"/>
  <c r="C5" i="6"/>
  <c r="C4" i="6"/>
  <c r="C3" i="6"/>
  <c r="C2" i="6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2" i="1"/>
  <c r="L31" i="1"/>
  <c r="L30" i="1"/>
  <c r="L29" i="1"/>
  <c r="A29" i="1"/>
  <c r="A30" i="1"/>
  <c r="A32" i="1"/>
  <c r="G32" i="1"/>
  <c r="L32" i="1"/>
  <c r="D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" i="4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3" i="4"/>
  <c r="C24" i="4"/>
  <c r="C25" i="4"/>
  <c r="C26" i="4"/>
  <c r="C2" i="4"/>
  <c r="A3" i="4"/>
  <c r="B3" i="4" s="1"/>
  <c r="A4" i="4"/>
  <c r="B4" i="4" s="1"/>
  <c r="A5" i="4"/>
  <c r="B5" i="4" s="1"/>
  <c r="A6" i="4"/>
  <c r="B6" i="4" s="1"/>
  <c r="A7" i="4"/>
  <c r="B7" i="4" s="1"/>
  <c r="A8" i="4"/>
  <c r="B8" i="4" s="1"/>
  <c r="A9" i="4"/>
  <c r="B9" i="4" s="1"/>
  <c r="A10" i="4"/>
  <c r="B10" i="4" s="1"/>
  <c r="A11" i="4"/>
  <c r="B11" i="4" s="1"/>
  <c r="A12" i="4"/>
  <c r="B12" i="4" s="1"/>
  <c r="A13" i="4"/>
  <c r="B13" i="4" s="1"/>
  <c r="A14" i="4"/>
  <c r="B14" i="4" s="1"/>
  <c r="A15" i="4"/>
  <c r="B15" i="4" s="1"/>
  <c r="A16" i="4"/>
  <c r="B16" i="4" s="1"/>
  <c r="A17" i="4"/>
  <c r="B17" i="4" s="1"/>
  <c r="A18" i="4"/>
  <c r="B18" i="4" s="1"/>
  <c r="B19" i="4"/>
  <c r="B20" i="4"/>
  <c r="A23" i="4"/>
  <c r="B23" i="4" s="1"/>
  <c r="A24" i="4"/>
  <c r="B24" i="4" s="1"/>
  <c r="A25" i="4"/>
  <c r="B25" i="4" s="1"/>
  <c r="A26" i="4"/>
  <c r="B26" i="4" s="1"/>
  <c r="A2" i="4"/>
  <c r="B2" i="4" s="1"/>
  <c r="G25" i="1"/>
  <c r="L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7" i="1"/>
  <c r="L28" i="1"/>
  <c r="G24" i="1"/>
  <c r="A24" i="1"/>
  <c r="A25" i="1"/>
  <c r="A26" i="1"/>
  <c r="A27" i="1"/>
  <c r="A28" i="1"/>
  <c r="A31" i="1"/>
  <c r="B4" i="2"/>
  <c r="B2" i="2"/>
  <c r="G26" i="1" s="1"/>
  <c r="G7" i="1"/>
  <c r="G20" i="1"/>
  <c r="B6" i="2"/>
  <c r="G10" i="1" s="1"/>
  <c r="B7" i="2"/>
  <c r="G16" i="1"/>
  <c r="B9" i="2"/>
  <c r="G21" i="1" s="1"/>
  <c r="B1" i="2"/>
  <c r="G2" i="1" s="1"/>
  <c r="G6" i="1"/>
  <c r="G9" i="1"/>
  <c r="G11" i="1"/>
  <c r="G18" i="1"/>
  <c r="G19" i="1"/>
  <c r="G22" i="1"/>
  <c r="G4" i="1" l="1"/>
  <c r="G13" i="1"/>
  <c r="G15" i="1"/>
  <c r="G14" i="1"/>
  <c r="G17" i="1"/>
  <c r="G12" i="1"/>
  <c r="G8" i="1"/>
  <c r="G5" i="1"/>
  <c r="G23" i="1"/>
  <c r="G3" i="1"/>
  <c r="A3" i="1"/>
  <c r="A4" i="1"/>
  <c r="A6" i="1"/>
  <c r="A21" i="1"/>
  <c r="A22" i="1"/>
  <c r="A23" i="1"/>
  <c r="A5" i="1"/>
  <c r="A9" i="1"/>
  <c r="A10" i="1"/>
  <c r="A12" i="1"/>
  <c r="A13" i="1"/>
  <c r="A19" i="1"/>
  <c r="A7" i="1"/>
  <c r="A8" i="1"/>
  <c r="A11" i="1"/>
  <c r="A14" i="1"/>
  <c r="A15" i="1"/>
  <c r="A16" i="1"/>
  <c r="A17" i="1"/>
  <c r="A18" i="1"/>
  <c r="A20" i="1"/>
  <c r="A2" i="1"/>
</calcChain>
</file>

<file path=xl/sharedStrings.xml><?xml version="1.0" encoding="utf-8"?>
<sst xmlns="http://schemas.openxmlformats.org/spreadsheetml/2006/main" count="460" uniqueCount="216">
  <si>
    <t>SA00756DE</t>
  </si>
  <si>
    <t>SA00765DE</t>
  </si>
  <si>
    <t>SA00744DE</t>
  </si>
  <si>
    <t>ST00857DE</t>
  </si>
  <si>
    <t>SR00925DE</t>
  </si>
  <si>
    <t>SR00821DE</t>
  </si>
  <si>
    <t>ST00934DE</t>
  </si>
  <si>
    <t>Installation of Becker Avionics BXT6553 transponder</t>
  </si>
  <si>
    <t>ST00790DE</t>
  </si>
  <si>
    <t>ST00882DE</t>
  </si>
  <si>
    <t>SR00828DE</t>
  </si>
  <si>
    <t>ST00813DE</t>
  </si>
  <si>
    <t>ST00835DE</t>
  </si>
  <si>
    <t>SR00851DE</t>
  </si>
  <si>
    <t>ST00858DE</t>
  </si>
  <si>
    <t>SR00847DE</t>
  </si>
  <si>
    <t>SA01822WI</t>
  </si>
  <si>
    <t>Installation of a True Blue TB44 Lithium Ion Battery.</t>
  </si>
  <si>
    <t>SA00762DE</t>
  </si>
  <si>
    <t>Installation of the MidContinent MD302 Standby Digital Flight Instrument System</t>
  </si>
  <si>
    <t>SA01031DE</t>
  </si>
  <si>
    <t>Installation of the Garmin GSR 56 SATCOM transceiver and Flightstream 210 transceiver</t>
  </si>
  <si>
    <t>ST00892DE</t>
  </si>
  <si>
    <t>Installation of dual BendixKing KT 74 Transponders and optional BendixKing KGX 150 Receiver</t>
  </si>
  <si>
    <t>ST00883DE</t>
  </si>
  <si>
    <t>SR00764DE</t>
  </si>
  <si>
    <t>SA01835WI</t>
  </si>
  <si>
    <t>Installation of Trig Avionics TY-96 or TY-97 VHF Communications Radio</t>
  </si>
  <si>
    <t>Installation of MD215 Standby Altimeter</t>
  </si>
  <si>
    <t>Installation of Automatic Dependent Surveillance – Broadcast (ADS-B) Out Equipment using a Trig Avionics TT22 Transponder and an approved Global Positioning System (GPS) Position Sensor</t>
  </si>
  <si>
    <t>Installation of Automatic Dependent Surveillance – Broadcast (ADS-B) Out functionality using the BendixKing KT74 Transponder and qualified position sensor</t>
  </si>
  <si>
    <t>Installation of the Automatic Dependent Surveillance – Broadcast (ADS-B) Out Equipment using a Trig Avionics TT31 Transponder and an approved position sensor</t>
  </si>
  <si>
    <t>Installation of Automatic Dependent Surveillance - Broadcast (ADS-B) Out and in functionality using the BendixKing KT74 Transponder and qualified position sensor and ADS-B In Receiver</t>
  </si>
  <si>
    <t>Installation of BendixKing CAS 67B Traffic Alert and Collision Avoidance System (TCAS) II Version 7.1</t>
  </si>
  <si>
    <t>Installation of Automatic Dependent Surveillance – Broadcast (ADS-B) Out functionality using the Garmin G330ES or G33H ES Transponder and qualified position sensor</t>
  </si>
  <si>
    <t>Replacement of Honeywell (formerly Sperry) ED-800 cathode ray tube (CRT) display, part number 7003110-90 I or 7003110-902, with Esterline CMC Electronics CMA-6800 multi-purpose liquid crystal display (LCD), in accordance with Master Drawing List, E-DI-15-0002, Rev. A, dated March 11, 2016, or later FAA approved revision.</t>
  </si>
  <si>
    <t>Installation of Automatic Dependent Surveillance – Broadcast (ADS-B) Out and In functionality using the Garmin GTX 335R and GTX 345R Transponders plus qualified position sensor</t>
  </si>
  <si>
    <t>Replacement of Honeywell (formerly Sperry) ED-800 cathode ray tube (CRT) display, part number (p/n) 7003110-901/-902, with Esterline CMC Electronics CMA-6800 multi-purpose liquid crystal display (LCD), p/n 100-604045-001/-002, respectively</t>
  </si>
  <si>
    <t>Installation of Automatic Dependent Surveillance – Broadcast (ADS-B) Out functionality using the Garmin GTX 330ES transponder and a qualified position sensor</t>
  </si>
  <si>
    <t xml:space="preserve">Installation of Grumman LitefLCR-100 Attitude Heading and Reference System (AHRS) in place of existing LCR-93 AHRS </t>
  </si>
  <si>
    <t>Installation of Automatic Dependent Surveillance – Broadcast (ADS-B) Out functionality using the Trig Avionics TT22 Transponder and Freeflight Systems 1201 Global Positioning System (GPS) with Wide Area Augmentation System (WAAS)</t>
  </si>
  <si>
    <t>Installation of Garmin GTX 335/335R and GTX345/345R transponders to provide ADS-B Out and In functionality</t>
  </si>
  <si>
    <t>Equipment</t>
  </si>
  <si>
    <t>TT22</t>
  </si>
  <si>
    <t>KT74</t>
  </si>
  <si>
    <t>TT31</t>
  </si>
  <si>
    <t>MD215</t>
  </si>
  <si>
    <t>KT74 + ADS-B In</t>
  </si>
  <si>
    <t>BXT6553</t>
  </si>
  <si>
    <t>CAS 67B</t>
  </si>
  <si>
    <t>CMA-6800</t>
  </si>
  <si>
    <t>GTX 330ES</t>
  </si>
  <si>
    <t>TB44</t>
  </si>
  <si>
    <t>MD302</t>
  </si>
  <si>
    <t>GSR 56</t>
  </si>
  <si>
    <t xml:space="preserve">TT22 and 1201 </t>
  </si>
  <si>
    <t>GTX 335/335R, GTX345/345R</t>
  </si>
  <si>
    <t>G330ES, G33H ES</t>
  </si>
  <si>
    <t>GTX 335R, GTX 345R</t>
  </si>
  <si>
    <t>TY-96, TY-97</t>
  </si>
  <si>
    <t>POC</t>
  </si>
  <si>
    <t xml:space="preserve">Midco - </t>
  </si>
  <si>
    <t>Luke Gomoll</t>
  </si>
  <si>
    <t>LitefLCR-100</t>
  </si>
  <si>
    <t>David Sam?</t>
  </si>
  <si>
    <t>KT 74, KGX 150</t>
  </si>
  <si>
    <t>Peregrine Bid</t>
  </si>
  <si>
    <t>DAC - Brad Sutphin</t>
  </si>
  <si>
    <t>Description</t>
  </si>
  <si>
    <t>Column1</t>
  </si>
  <si>
    <t>Any BendixKing dealer or Marshall Mortley, marshall.mortley@bendixking.com</t>
  </si>
  <si>
    <t>Daher - Quest</t>
  </si>
  <si>
    <t>Peregrine sells license for $1,000</t>
  </si>
  <si>
    <t>Peregrine Bid - STC license available through Peregrine or Becker dealer.</t>
  </si>
  <si>
    <t xml:space="preserve">David Sam, Or any Trig Avionics dealer </t>
  </si>
  <si>
    <t>Partner</t>
  </si>
  <si>
    <t>Trig</t>
  </si>
  <si>
    <t>Midcontinent</t>
  </si>
  <si>
    <t>Bendix King</t>
  </si>
  <si>
    <t>Peregrine / Bendix King</t>
  </si>
  <si>
    <t>DAC International</t>
  </si>
  <si>
    <t>Peregrine / Garmin</t>
  </si>
  <si>
    <t>Southeast Aerospace</t>
  </si>
  <si>
    <t>Becker</t>
  </si>
  <si>
    <t>Finnoff, Midcontinent</t>
  </si>
  <si>
    <t>Partner2</t>
  </si>
  <si>
    <t>TRIG AVIONICS LIMITED</t>
  </si>
  <si>
    <t>Mid-Continent Instrument Co., Inc.</t>
  </si>
  <si>
    <t>BendixKing</t>
  </si>
  <si>
    <t>Peregrine / BendixKing</t>
  </si>
  <si>
    <t>DAC International, Inc.</t>
  </si>
  <si>
    <t>Peregrine / GarminInternational</t>
  </si>
  <si>
    <t>Southeast Aerospace, Inc.</t>
  </si>
  <si>
    <t>BECKER AVIONICS GMBH</t>
  </si>
  <si>
    <t>Becker Avionics GmbH</t>
  </si>
  <si>
    <t>Daher - Quest Aircraft</t>
  </si>
  <si>
    <t>Finnoff Aviation Products LLC, Mid-Continent Instrument Co., Inc.</t>
  </si>
  <si>
    <t>Installation of Supplemental Flap/Slat Actuator Heater System</t>
  </si>
  <si>
    <t>ST01075DE</t>
  </si>
  <si>
    <t>Gulfstream</t>
  </si>
  <si>
    <t>Gulfstream Aerospace</t>
  </si>
  <si>
    <t>G150 Aircraft</t>
  </si>
  <si>
    <t>Column6</t>
  </si>
  <si>
    <t>Column7</t>
  </si>
  <si>
    <t>ADS-B</t>
  </si>
  <si>
    <t>TCAS</t>
  </si>
  <si>
    <t>Part 23</t>
  </si>
  <si>
    <t>Panel</t>
  </si>
  <si>
    <t>Rotorcraft</t>
  </si>
  <si>
    <t>Part 25</t>
  </si>
  <si>
    <t>Avionics</t>
  </si>
  <si>
    <t>Communications</t>
  </si>
  <si>
    <t>Electrical</t>
  </si>
  <si>
    <t>Flight Controls</t>
  </si>
  <si>
    <t>Category</t>
  </si>
  <si>
    <t>Part</t>
  </si>
  <si>
    <t>Equipment2</t>
  </si>
  <si>
    <t>Certification</t>
  </si>
  <si>
    <t>FAA</t>
  </si>
  <si>
    <t>FAA, Mexico</t>
  </si>
  <si>
    <t>FAA, Brazil, Mexico</t>
  </si>
  <si>
    <t>Product</t>
  </si>
  <si>
    <t>10-20-30-A</t>
  </si>
  <si>
    <t>USB Charge Outlet</t>
  </si>
  <si>
    <t>10-20-40-B</t>
  </si>
  <si>
    <t>120/240V Outlet</t>
  </si>
  <si>
    <t>Accessory</t>
  </si>
  <si>
    <t>Service</t>
  </si>
  <si>
    <t>https://peregrine.aero/wp-content/uploads/2021/01/SA00744DE_AML.pdf</t>
  </si>
  <si>
    <t>7(9.33%)</t>
  </si>
  <si>
    <t>5(7.69%)</t>
  </si>
  <si>
    <t>0(0.00%)</t>
  </si>
  <si>
    <t>https://peregrine.aero/wp-content/uploads/2021/01/ST00790DE_AML.pdf</t>
  </si>
  <si>
    <t>6(8.00%)</t>
  </si>
  <si>
    <t>6(9.23%)</t>
  </si>
  <si>
    <t>https://peregrine.aero/wp-content/uploads/2021/01/SA00756DE_AML.pdf</t>
  </si>
  <si>
    <t>5(6.67%)</t>
  </si>
  <si>
    <t>https://peregrine.aero/wp-content/uploads/2021/01/SR00925DE_AML.pdf</t>
  </si>
  <si>
    <t>2(3.08%)</t>
  </si>
  <si>
    <t>https://peregrine.aero/wp-content/uploads/2021/01/SA00744DE.pdf</t>
  </si>
  <si>
    <t>4(5.33%)</t>
  </si>
  <si>
    <t>4(6.15%)</t>
  </si>
  <si>
    <t>https://peregrine.aero/wp-content/uploads/2021/01/SR00828DE_AML.pdf</t>
  </si>
  <si>
    <t>3(4.62%)</t>
  </si>
  <si>
    <t>https://peregrine.aero/wp-content/uploads/2021/01/SR00925DE.pdf</t>
  </si>
  <si>
    <t>https://peregrine.aero/wp-content/uploads/2021/01/ST00835DE_AML.pdf</t>
  </si>
  <si>
    <t>https://peregrine.aero/wp-content/uploads/2021/01/ST00934DE_AML.pdf</t>
  </si>
  <si>
    <t>https://peregrine.aero/wp-content/uploads/2021/01/SA00765DE.pdf</t>
  </si>
  <si>
    <t>3(4.00%)</t>
  </si>
  <si>
    <t>https://peregrine.aero/wp-content/uploads/2021/01/SR00764DE.pdf</t>
  </si>
  <si>
    <t>https://peregrine.aero/wp-content/uploads/2021/01/SR00828DE.pdf</t>
  </si>
  <si>
    <t>https://peregrine.aero/wp-content/uploads/2021/01/ST00790DE.pdf</t>
  </si>
  <si>
    <t>https://peregrine.aero/wp-content/uploads/2021/01/SA00756DE.pdf</t>
  </si>
  <si>
    <t>2(2.67%)</t>
  </si>
  <si>
    <t>https://peregrine.aero/wp-content/uploads/2021/01/SA00765DE_AML.pdf</t>
  </si>
  <si>
    <t>https://peregrine.aero/wp-content/uploads/2021/01/ST00813DE_AML.pdf</t>
  </si>
  <si>
    <t>https://peregrine.aero/wp-content/uploads/2021/01/ST00813DE.pdf</t>
  </si>
  <si>
    <t>https://peregrine.aero/library/ST00790DE%20AML%20Rev%20E.pdf#</t>
  </si>
  <si>
    <t>1(1.33%)</t>
  </si>
  <si>
    <t>1(1.54%)</t>
  </si>
  <si>
    <t>https://peregrine.aero/wp-content/uploads/2021/01/PR-161206-AirMethods_120516.pdf</t>
  </si>
  <si>
    <t>https://peregrine.aero/wp-content/uploads/2021/01/PR-201210-Peregrine-ACA-Excel-Press-Release-Approved.pdf</t>
  </si>
  <si>
    <t>https://peregrine.aero/wp-content/uploads/2021/01/PR-201210-Peregrine-Gogo-Avance-Press-Release-Approved.pdf</t>
  </si>
  <si>
    <t>https://peregrine.aero/wp-content/uploads/2021/01/SA00762DE.pdf</t>
  </si>
  <si>
    <t>https://peregrine.aero/wp-content/uploads/2021/01/SA01031DE.pdf</t>
  </si>
  <si>
    <t>https://peregrine.aero/wp-content/uploads/2021/01/SA01835WI_AML.pdf</t>
  </si>
  <si>
    <t>https://peregrine.aero/wp-content/uploads/2021/01/SR00851DE_AML.pdf</t>
  </si>
  <si>
    <t>STC</t>
  </si>
  <si>
    <t>Document</t>
  </si>
  <si>
    <t>Press Release</t>
  </si>
  <si>
    <t>Excel C560 ACA</t>
  </si>
  <si>
    <t>GoGo Avance</t>
  </si>
  <si>
    <t>Downloads</t>
  </si>
  <si>
    <t>Event Action</t>
  </si>
  <si>
    <t>Total Events</t>
  </si>
  <si>
    <t>Unique Events</t>
  </si>
  <si>
    <t>Event Value</t>
  </si>
  <si>
    <t>Avg. Value</t>
  </si>
  <si>
    <t xml:space="preserve"> Installation of replacement aft bay Heat Exchanger Blower Fans </t>
  </si>
  <si>
    <t>ST01035DE</t>
  </si>
  <si>
    <t>AMETEK Blower</t>
  </si>
  <si>
    <t>Talon Air</t>
  </si>
  <si>
    <t>ACA ionizer</t>
  </si>
  <si>
    <t>Lee Aerospace</t>
  </si>
  <si>
    <t>ACA - CL600</t>
  </si>
  <si>
    <t>ACA - GIV &amp; GIV-SP</t>
  </si>
  <si>
    <t>ACA - Falcon 50/900</t>
  </si>
  <si>
    <t>ACA - Citaion 560XL</t>
  </si>
  <si>
    <t>Contact for STC Package</t>
  </si>
  <si>
    <t>Peregrine</t>
  </si>
  <si>
    <t>Mid-Continent</t>
  </si>
  <si>
    <t>SEAerospace</t>
  </si>
  <si>
    <t>Daher</t>
  </si>
  <si>
    <t>Finnoff</t>
  </si>
  <si>
    <t>Column2</t>
  </si>
  <si>
    <t>SA09886AC</t>
  </si>
  <si>
    <t>SA01044DE</t>
  </si>
  <si>
    <t>SA01053DE</t>
  </si>
  <si>
    <t>SR09654RC</t>
  </si>
  <si>
    <t>FreeFlight Systems RANGR ADS-B Out/In Installation Part 27 AML (Includes Airbus, Bell and Robinson Rotorcraft)</t>
  </si>
  <si>
    <t>ST00841DE</t>
  </si>
  <si>
    <t>ST00895DE</t>
  </si>
  <si>
    <t>ST00912DE</t>
  </si>
  <si>
    <t>ST01066DE</t>
  </si>
  <si>
    <t>Installation of the Aviation Clean Air Airborne Air &amp; Surface Purification System on aircraft listed in the Approvel Model List.</t>
  </si>
  <si>
    <t>Installation of Automatic Dependent Surveillance – Broadcast (ADS-B) Out functionality using the Rockwell Collins TDR-94D Enhanced Surveillance Mode S Transponders paired with the Rockwell Collins GPS-4000S WAAS GPS Receivers, plus installation of the IOC-4000</t>
  </si>
  <si>
    <t>Installation of the Garmin G700 TXi Avionics Suite</t>
  </si>
  <si>
    <t>Installation of Future Air Navigation System (FANS) 1/A+, Remote Oceanic Controller Pilot Data Link Communications (CPDLC), Automatic Dependent Surveillance - Contract (ADS-C), and CPDLC Departure Clearance (CPDLC-DCL)</t>
  </si>
  <si>
    <t>Title</t>
  </si>
  <si>
    <t>PC12 TB44 Battery</t>
  </si>
  <si>
    <t>PC-12 GoGo AVANCE L3</t>
  </si>
  <si>
    <t>BendixKing CG100P Connected Gateway Installation Part 23 AML (King Air 200/B200)</t>
  </si>
  <si>
    <t>Available from</t>
  </si>
  <si>
    <t>???</t>
  </si>
  <si>
    <t>Learjet?</t>
  </si>
  <si>
    <t>Not on FAA.rgl.gov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</si>
</sst>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Fill="1" applyAlignment="1">
      <alignment vertical="top" wrapText="1"/>
    </xf>
    <xf numFmtId="0" fontId="0" fillId="0" borderId="0" xfId="0" applyNumberFormat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3" fillId="0" borderId="0" xfId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NumberFormat="1" applyAlignment="1">
      <alignment vertical="top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21">
    <dxf>
      <alignment horizontal="center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DB7E3F0-9C8F-4D4B-9E8C-18C0D1F7AB3D}" name="Table1" displayName="Table1" ref="A1:O32" totalsRowShown="0" headerRowDxfId="20" dataDxfId="19">
  <autoFilter ref="A1:O32" xr:uid="{E56923C5-9903-43ED-9624-BD69502DD8F8}"/>
  <tableColumns count="15">
    <tableColumn id="5" xr3:uid="{FBD23338-89A8-45F5-90ED-7F83C196A094}" name="Column1" dataDxfId="18">
      <calculatedColumnFormula>RIGHT(Table1[[#This Row],[Product]],LEN(Table1[[#This Row],[Product]])-2)</calculatedColumnFormula>
    </tableColumn>
    <tableColumn id="15" xr3:uid="{8BB78278-1C13-4DFB-A984-C14A6AB7DB03}" name="Column2" dataDxfId="17"/>
    <tableColumn id="1" xr3:uid="{769C55DF-C18B-4105-96DA-75AB35270D8A}" name="Product" dataDxfId="16"/>
    <tableColumn id="2" xr3:uid="{1B386D69-303D-4A3B-B4F6-079CF2A0D4EB}" name="Description" dataDxfId="15"/>
    <tableColumn id="3" xr3:uid="{68CCCB21-CBD2-4423-B9E7-8A494A0A9CC8}" name="Equipment" dataDxfId="14"/>
    <tableColumn id="14" xr3:uid="{5D13217C-91E7-42BC-B276-E291F5D2BB36}" name="Contact for STC Package" dataDxfId="13"/>
    <tableColumn id="7" xr3:uid="{C509D6FB-0846-4EE2-90DF-0D0AADE5F060}" name="Partner" dataDxfId="12">
      <calculatedColumnFormula>INDEX(Sheet2!A:B,MATCH(Table1[[#This Row],[Partner2]],Sheet2!A:A,0),2)</calculatedColumnFormula>
    </tableColumn>
    <tableColumn id="6" xr3:uid="{448F512F-6CEF-4071-A7F0-CA7E8056511D}" name="Partner2" dataDxfId="11"/>
    <tableColumn id="4" xr3:uid="{F5A6EE57-3181-4ABB-BC8A-7B255B3B1A7D}" name="POC" dataDxfId="10"/>
    <tableColumn id="8" xr3:uid="{A224D845-1EAF-4FBF-9DCA-11FCD0343565}" name="Category" dataDxfId="9"/>
    <tableColumn id="9" xr3:uid="{0BC513A7-F2E7-41C9-881D-E82F51A6DBDF}" name="Part" dataDxfId="8"/>
    <tableColumn id="10" xr3:uid="{CD4BBE84-2FE5-4769-A3CF-388DBE05ED39}" name="Equipment2" dataDxfId="7">
      <calculatedColumnFormula>Table1[[#This Row],[Equipment]]</calculatedColumnFormula>
    </tableColumn>
    <tableColumn id="11" xr3:uid="{CA8697A0-7C22-4C5A-9996-A964DD1BF043}" name="Certification" dataDxfId="6"/>
    <tableColumn id="12" xr3:uid="{E1B016E6-EF6A-4A48-8BC0-86845CE9E538}" name="Column6" dataDxfId="5"/>
    <tableColumn id="13" xr3:uid="{A161AFE2-60CE-4919-A59F-FDF56AD2A56D}" name="Column7" dataDxf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621726A-D9C9-4A5C-B7FD-9805316ADE28}" name="Table3" displayName="Table3" ref="A1:D26" totalsRowShown="0">
  <autoFilter ref="A1:D26" xr:uid="{B68BC91D-94C2-438B-9B90-5ABA2D18D5DC}"/>
  <tableColumns count="4">
    <tableColumn id="1" xr3:uid="{789715C9-1E3F-4CC9-980F-5BBECFFEC5D0}" name="STC" dataDxfId="3">
      <calculatedColumnFormula>SUBSTITUTE(SUBSTITUTE(RIGHT(F2,LEN(F2)-SEARCH("01/",F2)-2),".pdf",""),"_AML","")</calculatedColumnFormula>
    </tableColumn>
    <tableColumn id="2" xr3:uid="{272477D2-E6E4-4234-B43F-7BF52AF5E21C}" name="Description" dataDxfId="2">
      <calculatedColumnFormula>INDEX(Table1[[#All],[Product]:[Column7]],MATCH($A2,Table1[[#All],[Product]],0),MATCH(B$1,Table1[[#Headers],[Product]:[Column7]],0))</calculatedColumnFormula>
    </tableColumn>
    <tableColumn id="3" xr3:uid="{10E3D405-FACF-4A31-9882-0E4C35D4FAED}" name="Document" dataDxfId="1">
      <calculatedColumnFormula>IF(LEN(F2)=LEN(SUBSTITUTE(F2,"AML","")),"STC Page","AML")</calculatedColumnFormula>
    </tableColumn>
    <tableColumn id="4" xr3:uid="{CFBB83FB-3398-440E-97C0-D51B44F1BC66}" name="Downloads" dataDxfId="0">
      <calculatedColumnFormula>VALUE(LEFT(G2,SEARCH("(",G2)-1))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hyperlink" Target="https://peregrine.aero/library/ST00790DE%20AML%20Rev%20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60985-7F5C-4C5C-8621-80557387C111}">
  <sheetPr codeName="Sheet1"/>
  <dimension ref="A1:O32"/>
  <sheetViews>
    <sheetView topLeftCell="B1" workbookViewId="0">
      <pane xSplit="3" ySplit="1" topLeftCell="E14" activePane="bottomRight" state="frozen"/>
      <selection activeCell="B1" sqref="B1"/>
      <selection pane="topRight" activeCell="D1" sqref="D1"/>
      <selection pane="bottomLeft" activeCell="B2" sqref="B2"/>
      <selection pane="bottomRight" activeCell="B2" sqref="B2:B31"/>
    </sheetView>
  </sheetViews>
  <sheetFormatPr defaultColWidth="9.140625" defaultRowHeight="15" x14ac:dyDescent="0.25"/>
  <cols>
    <col min="1" max="1" width="0" style="1" hidden="1" customWidth="1"/>
    <col min="2" max="2" width="9.140625" style="1"/>
    <col min="3" max="3" width="10.7109375" style="1" bestFit="1" customWidth="1"/>
    <col min="4" max="4" width="70" style="2" customWidth="1"/>
    <col min="5" max="5" width="25.85546875" style="1" bestFit="1" customWidth="1"/>
    <col min="6" max="6" width="25.85546875" style="1" customWidth="1"/>
    <col min="7" max="7" width="25.85546875" style="2" customWidth="1"/>
    <col min="8" max="8" width="25.85546875" style="1" customWidth="1"/>
    <col min="9" max="9" width="37" style="3" customWidth="1"/>
    <col min="10" max="11" width="9.140625" style="1"/>
    <col min="12" max="12" width="17.85546875" style="1" customWidth="1"/>
    <col min="13" max="13" width="18.140625" style="1" bestFit="1" customWidth="1"/>
    <col min="14" max="16384" width="9.140625" style="1"/>
  </cols>
  <sheetData>
    <row r="1" spans="1:15" x14ac:dyDescent="0.25">
      <c r="A1" s="1" t="s">
        <v>69</v>
      </c>
      <c r="B1" s="1" t="s">
        <v>194</v>
      </c>
      <c r="C1" s="1" t="s">
        <v>121</v>
      </c>
      <c r="D1" s="2" t="s">
        <v>68</v>
      </c>
      <c r="E1" s="1" t="s">
        <v>42</v>
      </c>
      <c r="F1" s="1" t="s">
        <v>188</v>
      </c>
      <c r="G1" s="2" t="s">
        <v>75</v>
      </c>
      <c r="H1" s="1" t="s">
        <v>85</v>
      </c>
      <c r="I1" s="3" t="s">
        <v>60</v>
      </c>
      <c r="J1" s="1" t="s">
        <v>114</v>
      </c>
      <c r="K1" s="1" t="s">
        <v>115</v>
      </c>
      <c r="L1" s="1" t="s">
        <v>116</v>
      </c>
      <c r="M1" s="1" t="s">
        <v>117</v>
      </c>
      <c r="N1" s="1" t="s">
        <v>102</v>
      </c>
      <c r="O1" s="1" t="s">
        <v>103</v>
      </c>
    </row>
    <row r="2" spans="1:15" ht="45" x14ac:dyDescent="0.25">
      <c r="A2" s="1" t="str">
        <f>RIGHT(Table1[[#This Row],[Product]],LEN(Table1[[#This Row],[Product]])-2)</f>
        <v>00744DE</v>
      </c>
      <c r="B2" s="1" t="b">
        <f>MATCH(Table1[[#This Row],[Product]],Sheet1!$B$2:$B$32,0)&gt;0</f>
        <v>1</v>
      </c>
      <c r="C2" s="1" t="s">
        <v>2</v>
      </c>
      <c r="D2" s="2" t="s">
        <v>31</v>
      </c>
      <c r="E2" s="1" t="s">
        <v>45</v>
      </c>
      <c r="F2" s="1" t="s">
        <v>76</v>
      </c>
      <c r="G2" s="2" t="str">
        <f>INDEX(Sheet2!A:B,MATCH(Table1[[#This Row],[Partner2]],Sheet2!A:A,0),2)</f>
        <v>Trig Avionics Limited</v>
      </c>
      <c r="H2" s="1" t="s">
        <v>76</v>
      </c>
      <c r="I2" s="3" t="s">
        <v>74</v>
      </c>
      <c r="J2" s="1" t="s">
        <v>104</v>
      </c>
      <c r="K2" s="1" t="s">
        <v>106</v>
      </c>
      <c r="L2" s="1" t="str">
        <f>Table1[[#This Row],[Equipment]]</f>
        <v>TT31</v>
      </c>
      <c r="M2" s="1" t="s">
        <v>118</v>
      </c>
    </row>
    <row r="3" spans="1:15" ht="45" x14ac:dyDescent="0.25">
      <c r="A3" s="1" t="str">
        <f>RIGHT(Table1[[#This Row],[Product]],LEN(Table1[[#This Row],[Product]])-2)</f>
        <v>00756DE</v>
      </c>
      <c r="B3" s="1" t="b">
        <f>MATCH(Table1[[#This Row],[Product]],Sheet1!$B$2:$B$32,0)&gt;0</f>
        <v>1</v>
      </c>
      <c r="C3" s="1" t="s">
        <v>0</v>
      </c>
      <c r="D3" s="2" t="s">
        <v>29</v>
      </c>
      <c r="E3" s="1" t="s">
        <v>43</v>
      </c>
      <c r="F3" s="1" t="s">
        <v>76</v>
      </c>
      <c r="G3" s="2" t="str">
        <f>INDEX(Sheet2!A:B,MATCH(Table1[[#This Row],[Partner2]],Sheet2!A:A,0),2)</f>
        <v>Trig Avionics Limited</v>
      </c>
      <c r="H3" s="1" t="s">
        <v>76</v>
      </c>
      <c r="I3" s="3" t="s">
        <v>74</v>
      </c>
      <c r="J3" s="1" t="s">
        <v>104</v>
      </c>
      <c r="K3" s="1" t="s">
        <v>106</v>
      </c>
      <c r="L3" s="1" t="str">
        <f>Table1[[#This Row],[Equipment]]</f>
        <v>TT22</v>
      </c>
      <c r="M3" s="1" t="s">
        <v>118</v>
      </c>
    </row>
    <row r="4" spans="1:15" ht="30" x14ac:dyDescent="0.25">
      <c r="A4" s="1" t="str">
        <f>RIGHT(Table1[[#This Row],[Product]],LEN(Table1[[#This Row],[Product]])-2)</f>
        <v>00762DE</v>
      </c>
      <c r="B4" s="1" t="b">
        <f>MATCH(Table1[[#This Row],[Product]],Sheet1!$B$2:$B$32,0)&gt;0</f>
        <v>1</v>
      </c>
      <c r="C4" s="1" t="s">
        <v>18</v>
      </c>
      <c r="D4" s="2" t="s">
        <v>19</v>
      </c>
      <c r="E4" s="1" t="s">
        <v>53</v>
      </c>
      <c r="F4" s="1" t="s">
        <v>190</v>
      </c>
      <c r="G4" s="2" t="str">
        <f>INDEX(Sheet2!A:B,MATCH(Table1[[#This Row],[Partner2]],Sheet2!A:A,0),2)</f>
        <v>Mid-Continent Instrument Co., Inc.</v>
      </c>
      <c r="H4" s="1" t="s">
        <v>77</v>
      </c>
      <c r="I4" s="3" t="s">
        <v>61</v>
      </c>
      <c r="J4" s="1" t="s">
        <v>107</v>
      </c>
      <c r="K4" s="1" t="s">
        <v>109</v>
      </c>
      <c r="L4" s="1" t="str">
        <f>Table1[[#This Row],[Equipment]]</f>
        <v>MD302</v>
      </c>
      <c r="M4" s="1" t="s">
        <v>118</v>
      </c>
    </row>
    <row r="5" spans="1:15" ht="60" x14ac:dyDescent="0.25">
      <c r="A5" s="1" t="str">
        <f>RIGHT(Table1[[#This Row],[Product]],LEN(Table1[[#This Row],[Product]])-2)</f>
        <v>00764DE</v>
      </c>
      <c r="B5" s="1" t="b">
        <f>MATCH(Table1[[#This Row],[Product]],Sheet1!$B$2:$B$32,0)&gt;0</f>
        <v>1</v>
      </c>
      <c r="C5" s="1" t="s">
        <v>25</v>
      </c>
      <c r="D5" s="2" t="s">
        <v>40</v>
      </c>
      <c r="E5" s="1" t="s">
        <v>55</v>
      </c>
      <c r="F5" s="1" t="s">
        <v>76</v>
      </c>
      <c r="G5" s="2" t="str">
        <f>INDEX(Sheet2!A:B,MATCH(Table1[[#This Row],[Partner2]],Sheet2!A:A,0),2)</f>
        <v>Trig Avionics Limited</v>
      </c>
      <c r="H5" s="1" t="s">
        <v>76</v>
      </c>
      <c r="I5" s="3" t="s">
        <v>64</v>
      </c>
      <c r="J5" s="1" t="s">
        <v>104</v>
      </c>
      <c r="K5" s="1" t="s">
        <v>108</v>
      </c>
      <c r="L5" s="1" t="str">
        <f>Table1[[#This Row],[Equipment]]</f>
        <v xml:space="preserve">TT22 and 1201 </v>
      </c>
      <c r="M5" s="1" t="s">
        <v>118</v>
      </c>
    </row>
    <row r="6" spans="1:15" ht="45" x14ac:dyDescent="0.25">
      <c r="A6" s="1" t="str">
        <f>RIGHT(Table1[[#This Row],[Product]],LEN(Table1[[#This Row],[Product]])-2)</f>
        <v>00765DE</v>
      </c>
      <c r="B6" s="1" t="b">
        <f>MATCH(Table1[[#This Row],[Product]],Sheet1!$B$2:$B$32,0)&gt;0</f>
        <v>1</v>
      </c>
      <c r="C6" s="1" t="s">
        <v>1</v>
      </c>
      <c r="D6" s="2" t="s">
        <v>30</v>
      </c>
      <c r="E6" s="1" t="s">
        <v>44</v>
      </c>
      <c r="F6" s="1" t="s">
        <v>88</v>
      </c>
      <c r="G6" s="2" t="str">
        <f>INDEX(Sheet2!A:B,MATCH(Table1[[#This Row],[Partner2]],Sheet2!A:A,0),2)</f>
        <v>BendixKing</v>
      </c>
      <c r="H6" s="1" t="s">
        <v>78</v>
      </c>
      <c r="I6" s="3" t="s">
        <v>70</v>
      </c>
      <c r="J6" s="1" t="s">
        <v>104</v>
      </c>
      <c r="K6" s="1" t="s">
        <v>106</v>
      </c>
      <c r="L6" s="1" t="str">
        <f>Table1[[#This Row],[Equipment]]</f>
        <v>KT74</v>
      </c>
      <c r="M6" s="1" t="s">
        <v>118</v>
      </c>
    </row>
    <row r="7" spans="1:15" ht="30" x14ac:dyDescent="0.25">
      <c r="A7" s="1" t="str">
        <f>RIGHT(Table1[[#This Row],[Product]],LEN(Table1[[#This Row],[Product]])-2)</f>
        <v>00790DE</v>
      </c>
      <c r="B7" s="1" t="b">
        <f>MATCH(Table1[[#This Row],[Product]],Sheet1!$B$2:$B$32,0)&gt;0</f>
        <v>1</v>
      </c>
      <c r="C7" s="1" t="s">
        <v>8</v>
      </c>
      <c r="D7" s="2" t="s">
        <v>33</v>
      </c>
      <c r="E7" s="1" t="s">
        <v>49</v>
      </c>
      <c r="F7" s="1" t="s">
        <v>189</v>
      </c>
      <c r="G7" s="2" t="str">
        <f>INDEX(Sheet2!A:B,MATCH(Table1[[#This Row],[Partner2]],Sheet2!A:A,0),2)</f>
        <v>Peregrine / BendixKing</v>
      </c>
      <c r="H7" s="1" t="s">
        <v>79</v>
      </c>
      <c r="I7" s="3" t="s">
        <v>66</v>
      </c>
      <c r="J7" s="1" t="s">
        <v>105</v>
      </c>
      <c r="K7" s="1" t="s">
        <v>109</v>
      </c>
      <c r="L7" s="1" t="str">
        <f>Table1[[#This Row],[Equipment]]</f>
        <v>CAS 67B</v>
      </c>
      <c r="M7" s="1" t="s">
        <v>120</v>
      </c>
    </row>
    <row r="8" spans="1:15" ht="75" x14ac:dyDescent="0.25">
      <c r="A8" s="1" t="str">
        <f>RIGHT(Table1[[#This Row],[Product]],LEN(Table1[[#This Row],[Product]])-2)</f>
        <v>00813DE</v>
      </c>
      <c r="B8" s="1" t="b">
        <f>MATCH(Table1[[#This Row],[Product]],Sheet1!$B$2:$B$32,0)&gt;0</f>
        <v>1</v>
      </c>
      <c r="C8" s="1" t="s">
        <v>11</v>
      </c>
      <c r="D8" s="2" t="s">
        <v>35</v>
      </c>
      <c r="E8" s="1" t="s">
        <v>50</v>
      </c>
      <c r="F8" s="1" t="s">
        <v>80</v>
      </c>
      <c r="G8" s="2" t="str">
        <f>INDEX(Sheet2!A:B,MATCH(Table1[[#This Row],[Partner2]],Sheet2!A:A,0),2)</f>
        <v>DAC International, Inc.</v>
      </c>
      <c r="H8" s="1" t="s">
        <v>80</v>
      </c>
      <c r="I8" s="3" t="s">
        <v>67</v>
      </c>
      <c r="J8" s="1" t="s">
        <v>107</v>
      </c>
      <c r="K8" s="1" t="s">
        <v>109</v>
      </c>
      <c r="L8" s="1" t="str">
        <f>Table1[[#This Row],[Equipment]]</f>
        <v>CMA-6800</v>
      </c>
      <c r="M8" s="1" t="s">
        <v>119</v>
      </c>
    </row>
    <row r="9" spans="1:15" ht="45" x14ac:dyDescent="0.25">
      <c r="A9" s="1" t="str">
        <f>RIGHT(Table1[[#This Row],[Product]],LEN(Table1[[#This Row],[Product]])-2)</f>
        <v>00821DE</v>
      </c>
      <c r="B9" s="1" t="b">
        <f>MATCH(Table1[[#This Row],[Product]],Sheet1!$B$2:$B$32,0)&gt;0</f>
        <v>1</v>
      </c>
      <c r="C9" s="1" t="s">
        <v>5</v>
      </c>
      <c r="D9" s="2" t="s">
        <v>32</v>
      </c>
      <c r="E9" s="1" t="s">
        <v>47</v>
      </c>
      <c r="F9" s="1" t="s">
        <v>88</v>
      </c>
      <c r="G9" s="2" t="str">
        <f>INDEX(Sheet2!A:B,MATCH(Table1[[#This Row],[Partner2]],Sheet2!A:A,0),2)</f>
        <v>BendixKing</v>
      </c>
      <c r="H9" s="1" t="s">
        <v>78</v>
      </c>
      <c r="I9" s="3" t="s">
        <v>70</v>
      </c>
      <c r="J9" s="1" t="s">
        <v>104</v>
      </c>
      <c r="K9" s="1" t="s">
        <v>108</v>
      </c>
      <c r="L9" s="1" t="str">
        <f>Table1[[#This Row],[Equipment]]</f>
        <v>KT74 + ADS-B In</v>
      </c>
      <c r="M9" s="1" t="s">
        <v>118</v>
      </c>
    </row>
    <row r="10" spans="1:15" ht="45" x14ac:dyDescent="0.25">
      <c r="A10" s="1" t="str">
        <f>RIGHT(Table1[[#This Row],[Product]],LEN(Table1[[#This Row],[Product]])-2)</f>
        <v>00828DE</v>
      </c>
      <c r="B10" s="1" t="b">
        <f>MATCH(Table1[[#This Row],[Product]],Sheet1!$B$2:$B$32,0)&gt;0</f>
        <v>1</v>
      </c>
      <c r="C10" s="1" t="s">
        <v>10</v>
      </c>
      <c r="D10" s="2" t="s">
        <v>34</v>
      </c>
      <c r="E10" s="1" t="s">
        <v>57</v>
      </c>
      <c r="F10" s="1" t="s">
        <v>189</v>
      </c>
      <c r="G10" s="2" t="str">
        <f>INDEX(Sheet2!A:B,MATCH(Table1[[#This Row],[Partner2]],Sheet2!A:A,0),2)</f>
        <v>Peregrine / Garmininternational</v>
      </c>
      <c r="H10" s="1" t="s">
        <v>81</v>
      </c>
      <c r="I10" s="3" t="s">
        <v>72</v>
      </c>
      <c r="J10" s="1" t="s">
        <v>104</v>
      </c>
      <c r="K10" s="1" t="s">
        <v>108</v>
      </c>
      <c r="L10" s="1" t="str">
        <f>Table1[[#This Row],[Equipment]]</f>
        <v>G330ES, G33H ES</v>
      </c>
      <c r="M10" s="1" t="s">
        <v>118</v>
      </c>
    </row>
    <row r="11" spans="1:15" ht="45" x14ac:dyDescent="0.25">
      <c r="A11" s="1" t="str">
        <f>RIGHT(Table1[[#This Row],[Product]],LEN(Table1[[#This Row],[Product]])-2)</f>
        <v>00835DE</v>
      </c>
      <c r="B11" s="1" t="b">
        <f>MATCH(Table1[[#This Row],[Product]],Sheet1!$B$2:$B$32,0)&gt;0</f>
        <v>1</v>
      </c>
      <c r="C11" s="1" t="s">
        <v>12</v>
      </c>
      <c r="D11" s="2" t="s">
        <v>36</v>
      </c>
      <c r="E11" s="1" t="s">
        <v>58</v>
      </c>
      <c r="F11" s="1" t="s">
        <v>191</v>
      </c>
      <c r="G11" s="2" t="str">
        <f>INDEX(Sheet2!A:B,MATCH(Table1[[#This Row],[Partner2]],Sheet2!A:A,0),2)</f>
        <v>Southeast Aerospace, Inc.</v>
      </c>
      <c r="H11" s="1" t="s">
        <v>82</v>
      </c>
      <c r="I11" s="3" t="s">
        <v>62</v>
      </c>
      <c r="J11" s="1" t="s">
        <v>104</v>
      </c>
      <c r="K11" s="1" t="s">
        <v>106</v>
      </c>
      <c r="L11" s="1" t="str">
        <f>Table1[[#This Row],[Equipment]]</f>
        <v>GTX 335R, GTX 345R</v>
      </c>
      <c r="M11" s="1" t="s">
        <v>118</v>
      </c>
    </row>
    <row r="12" spans="1:15" ht="60" x14ac:dyDescent="0.25">
      <c r="A12" s="1" t="str">
        <f>RIGHT(Table1[[#This Row],[Product]],LEN(Table1[[#This Row],[Product]])-2)</f>
        <v>00847DE</v>
      </c>
      <c r="B12" s="1" t="b">
        <f>MATCH(Table1[[#This Row],[Product]],Sheet1!$B$2:$B$32,0)&gt;0</f>
        <v>1</v>
      </c>
      <c r="C12" s="1" t="s">
        <v>15</v>
      </c>
      <c r="D12" s="2" t="s">
        <v>37</v>
      </c>
      <c r="E12" s="1" t="s">
        <v>50</v>
      </c>
      <c r="F12" s="1" t="s">
        <v>80</v>
      </c>
      <c r="G12" s="2" t="str">
        <f>INDEX(Sheet2!A:B,MATCH(Table1[[#This Row],[Partner2]],Sheet2!A:A,0),2)</f>
        <v>DAC International, Inc.</v>
      </c>
      <c r="H12" s="1" t="s">
        <v>80</v>
      </c>
      <c r="I12" s="3" t="s">
        <v>67</v>
      </c>
      <c r="J12" s="1" t="s">
        <v>107</v>
      </c>
      <c r="K12" s="1" t="s">
        <v>108</v>
      </c>
      <c r="L12" s="1" t="str">
        <f>Table1[[#This Row],[Equipment]]</f>
        <v>CMA-6800</v>
      </c>
      <c r="M12" s="1" t="s">
        <v>118</v>
      </c>
    </row>
    <row r="13" spans="1:15" ht="45" x14ac:dyDescent="0.25">
      <c r="A13" s="1" t="str">
        <f>RIGHT(Table1[[#This Row],[Product]],LEN(Table1[[#This Row],[Product]])-2)</f>
        <v>00851DE</v>
      </c>
      <c r="B13" s="1" t="b">
        <f>MATCH(Table1[[#This Row],[Product]],Sheet1!$B$2:$B$32,0)&gt;0</f>
        <v>1</v>
      </c>
      <c r="C13" s="1" t="s">
        <v>13</v>
      </c>
      <c r="D13" s="2" t="s">
        <v>38</v>
      </c>
      <c r="E13" s="1" t="s">
        <v>51</v>
      </c>
      <c r="F13" s="1" t="s">
        <v>189</v>
      </c>
      <c r="G13" s="2" t="str">
        <f>INDEX(Sheet2!A:B,MATCH(Table1[[#This Row],[Partner2]],Sheet2!A:A,0),2)</f>
        <v>Peregrine / Garmininternational</v>
      </c>
      <c r="H13" s="1" t="s">
        <v>81</v>
      </c>
      <c r="I13" s="3" t="s">
        <v>66</v>
      </c>
      <c r="J13" s="1" t="s">
        <v>104</v>
      </c>
      <c r="K13" s="1" t="s">
        <v>108</v>
      </c>
      <c r="L13" s="1" t="str">
        <f>Table1[[#This Row],[Equipment]]</f>
        <v>GTX 330ES</v>
      </c>
      <c r="M13" s="1" t="s">
        <v>118</v>
      </c>
    </row>
    <row r="14" spans="1:15" ht="30" x14ac:dyDescent="0.25">
      <c r="A14" s="1" t="str">
        <f>RIGHT(Table1[[#This Row],[Product]],LEN(Table1[[#This Row],[Product]])-2)</f>
        <v>00857DE</v>
      </c>
      <c r="B14" s="1" t="b">
        <f>MATCH(Table1[[#This Row],[Product]],Sheet1!$B$2:$B$32,0)&gt;0</f>
        <v>1</v>
      </c>
      <c r="C14" s="1" t="s">
        <v>3</v>
      </c>
      <c r="D14" s="2" t="s">
        <v>28</v>
      </c>
      <c r="E14" s="1" t="s">
        <v>46</v>
      </c>
      <c r="F14" s="1" t="s">
        <v>190</v>
      </c>
      <c r="G14" s="2" t="str">
        <f>INDEX(Sheet2!A:B,MATCH(Table1[[#This Row],[Partner2]],Sheet2!A:A,0),2)</f>
        <v>Mid-Continent Instrument Co., Inc.</v>
      </c>
      <c r="H14" s="1" t="s">
        <v>77</v>
      </c>
      <c r="I14" s="3" t="s">
        <v>61</v>
      </c>
      <c r="J14" s="1" t="s">
        <v>104</v>
      </c>
      <c r="K14" s="1" t="s">
        <v>106</v>
      </c>
      <c r="L14" s="1" t="str">
        <f>Table1[[#This Row],[Equipment]]</f>
        <v>MD215</v>
      </c>
      <c r="M14" s="1" t="s">
        <v>118</v>
      </c>
    </row>
    <row r="15" spans="1:15" ht="30" x14ac:dyDescent="0.25">
      <c r="A15" s="1" t="str">
        <f>RIGHT(Table1[[#This Row],[Product]],LEN(Table1[[#This Row],[Product]])-2)</f>
        <v>00858DE</v>
      </c>
      <c r="B15" s="1" t="e">
        <f>MATCH(Table1[[#This Row],[Product]],Sheet1!$B$2:$B$32,0)&gt;0</f>
        <v>#N/A</v>
      </c>
      <c r="C15" s="1" t="s">
        <v>14</v>
      </c>
      <c r="D15" s="2" t="s">
        <v>28</v>
      </c>
      <c r="E15" s="1" t="s">
        <v>46</v>
      </c>
      <c r="F15" s="1" t="s">
        <v>190</v>
      </c>
      <c r="G15" s="2" t="str">
        <f>INDEX(Sheet2!A:B,MATCH(Table1[[#This Row],[Partner2]],Sheet2!A:A,0),2)</f>
        <v>Mid-Continent Instrument Co., Inc.</v>
      </c>
      <c r="H15" s="1" t="s">
        <v>77</v>
      </c>
      <c r="I15" s="3" t="s">
        <v>61</v>
      </c>
      <c r="J15" s="1" t="s">
        <v>104</v>
      </c>
      <c r="K15" s="1" t="s">
        <v>106</v>
      </c>
      <c r="L15" s="1" t="str">
        <f>Table1[[#This Row],[Equipment]]</f>
        <v>MD215</v>
      </c>
      <c r="M15" s="1" t="s">
        <v>118</v>
      </c>
    </row>
    <row r="16" spans="1:15" ht="30" x14ac:dyDescent="0.25">
      <c r="A16" s="1" t="str">
        <f>RIGHT(Table1[[#This Row],[Product]],LEN(Table1[[#This Row],[Product]])-2)</f>
        <v>00882DE</v>
      </c>
      <c r="B16" s="1" t="b">
        <f>MATCH(Table1[[#This Row],[Product]],Sheet1!$B$2:$B$32,0)&gt;0</f>
        <v>1</v>
      </c>
      <c r="C16" s="1" t="s">
        <v>9</v>
      </c>
      <c r="D16" s="2" t="s">
        <v>7</v>
      </c>
      <c r="E16" s="1" t="s">
        <v>48</v>
      </c>
      <c r="G16" s="2" t="str">
        <f>INDEX(Sheet2!A:B,MATCH(Table1[[#This Row],[Partner2]],Sheet2!A:A,0),2)</f>
        <v>Becker Avionics GmbH</v>
      </c>
      <c r="H16" s="1" t="s">
        <v>83</v>
      </c>
      <c r="I16" s="3" t="s">
        <v>73</v>
      </c>
      <c r="J16" s="1" t="s">
        <v>104</v>
      </c>
      <c r="K16" s="1" t="s">
        <v>109</v>
      </c>
      <c r="L16" s="1" t="str">
        <f>Table1[[#This Row],[Equipment]]</f>
        <v>BXT6553</v>
      </c>
      <c r="M16" s="1" t="s">
        <v>118</v>
      </c>
    </row>
    <row r="17" spans="1:13" ht="30" x14ac:dyDescent="0.25">
      <c r="A17" s="1" t="str">
        <f>RIGHT(Table1[[#This Row],[Product]],LEN(Table1[[#This Row],[Product]])-2)</f>
        <v>00883DE</v>
      </c>
      <c r="B17" s="1" t="b">
        <f>MATCH(Table1[[#This Row],[Product]],Sheet1!$B$2:$B$32,0)&gt;0</f>
        <v>1</v>
      </c>
      <c r="C17" s="1" t="s">
        <v>24</v>
      </c>
      <c r="D17" s="2" t="s">
        <v>39</v>
      </c>
      <c r="E17" s="1" t="s">
        <v>63</v>
      </c>
      <c r="F17" s="1" t="s">
        <v>80</v>
      </c>
      <c r="G17" s="2" t="str">
        <f>INDEX(Sheet2!A:B,MATCH(Table1[[#This Row],[Partner2]],Sheet2!A:A,0),2)</f>
        <v>DAC International, Inc.</v>
      </c>
      <c r="H17" s="1" t="s">
        <v>80</v>
      </c>
      <c r="I17" s="3" t="s">
        <v>67</v>
      </c>
      <c r="J17" s="1" t="s">
        <v>110</v>
      </c>
      <c r="K17" s="1" t="s">
        <v>109</v>
      </c>
      <c r="L17" s="1" t="str">
        <f>Table1[[#This Row],[Equipment]]</f>
        <v>LitefLCR-100</v>
      </c>
      <c r="M17" s="1" t="s">
        <v>118</v>
      </c>
    </row>
    <row r="18" spans="1:13" ht="45" x14ac:dyDescent="0.25">
      <c r="A18" s="1" t="str">
        <f>RIGHT(Table1[[#This Row],[Product]],LEN(Table1[[#This Row],[Product]])-2)</f>
        <v>00892DE</v>
      </c>
      <c r="B18" s="1" t="b">
        <f>MATCH(Table1[[#This Row],[Product]],Sheet1!$B$2:$B$32,0)&gt;0</f>
        <v>1</v>
      </c>
      <c r="C18" s="1" t="s">
        <v>22</v>
      </c>
      <c r="D18" s="2" t="s">
        <v>23</v>
      </c>
      <c r="E18" s="1" t="s">
        <v>65</v>
      </c>
      <c r="F18" s="1" t="s">
        <v>88</v>
      </c>
      <c r="G18" s="2" t="str">
        <f>INDEX(Sheet2!A:B,MATCH(Table1[[#This Row],[Partner2]],Sheet2!A:A,0),2)</f>
        <v>BendixKing</v>
      </c>
      <c r="H18" s="1" t="s">
        <v>78</v>
      </c>
      <c r="I18" s="3" t="s">
        <v>70</v>
      </c>
      <c r="J18" s="1" t="s">
        <v>104</v>
      </c>
      <c r="K18" s="1" t="s">
        <v>106</v>
      </c>
      <c r="L18" s="1" t="str">
        <f>Table1[[#This Row],[Equipment]]</f>
        <v>KT 74, KGX 150</v>
      </c>
      <c r="M18" s="1" t="s">
        <v>118</v>
      </c>
    </row>
    <row r="19" spans="1:13" ht="30" x14ac:dyDescent="0.25">
      <c r="A19" s="1" t="str">
        <f>RIGHT(Table1[[#This Row],[Product]],LEN(Table1[[#This Row],[Product]])-2)</f>
        <v>00925DE</v>
      </c>
      <c r="B19" s="1" t="b">
        <f>MATCH(Table1[[#This Row],[Product]],Sheet1!$B$2:$B$32,0)&gt;0</f>
        <v>1</v>
      </c>
      <c r="C19" s="1" t="s">
        <v>4</v>
      </c>
      <c r="D19" s="2" t="s">
        <v>41</v>
      </c>
      <c r="E19" s="1" t="s">
        <v>56</v>
      </c>
      <c r="F19" s="1" t="s">
        <v>191</v>
      </c>
      <c r="G19" s="2" t="str">
        <f>INDEX(Sheet2!A:B,MATCH(Table1[[#This Row],[Partner2]],Sheet2!A:A,0),2)</f>
        <v>Southeast Aerospace, Inc.</v>
      </c>
      <c r="H19" s="1" t="s">
        <v>82</v>
      </c>
      <c r="I19" s="3" t="s">
        <v>62</v>
      </c>
      <c r="J19" s="1" t="s">
        <v>104</v>
      </c>
      <c r="K19" s="1" t="s">
        <v>108</v>
      </c>
      <c r="L19" s="1" t="str">
        <f>Table1[[#This Row],[Equipment]]</f>
        <v>GTX 335/335R, GTX345/345R</v>
      </c>
      <c r="M19" s="1" t="s">
        <v>119</v>
      </c>
    </row>
    <row r="20" spans="1:13" x14ac:dyDescent="0.25">
      <c r="A20" s="1" t="str">
        <f>RIGHT(Table1[[#This Row],[Product]],LEN(Table1[[#This Row],[Product]])-2)</f>
        <v>00934DE</v>
      </c>
      <c r="B20" s="1" t="b">
        <f>MATCH(Table1[[#This Row],[Product]],Sheet1!$B$2:$B$32,0)&gt;0</f>
        <v>1</v>
      </c>
      <c r="C20" s="1" t="s">
        <v>6</v>
      </c>
      <c r="D20" s="2" t="s">
        <v>7</v>
      </c>
      <c r="E20" s="1" t="s">
        <v>48</v>
      </c>
      <c r="F20" s="1" t="s">
        <v>80</v>
      </c>
      <c r="G20" s="2" t="str">
        <f>INDEX(Sheet2!A:B,MATCH(Table1[[#This Row],[Partner2]],Sheet2!A:A,0),2)</f>
        <v>DAC International, Inc.</v>
      </c>
      <c r="H20" s="1" t="s">
        <v>80</v>
      </c>
      <c r="I20" s="3" t="s">
        <v>67</v>
      </c>
      <c r="J20" s="1" t="s">
        <v>104</v>
      </c>
      <c r="K20" s="1" t="s">
        <v>109</v>
      </c>
      <c r="L20" s="1" t="str">
        <f>Table1[[#This Row],[Equipment]]</f>
        <v>BXT6553</v>
      </c>
      <c r="M20" s="1" t="s">
        <v>118</v>
      </c>
    </row>
    <row r="21" spans="1:13" ht="30" x14ac:dyDescent="0.25">
      <c r="A21" s="1" t="str">
        <f>RIGHT(Table1[[#This Row],[Product]],LEN(Table1[[#This Row],[Product]])-2)</f>
        <v>01031DE</v>
      </c>
      <c r="B21" s="1" t="b">
        <f>MATCH(Table1[[#This Row],[Product]],Sheet1!$B$2:$B$32,0)&gt;0</f>
        <v>1</v>
      </c>
      <c r="C21" s="1" t="s">
        <v>20</v>
      </c>
      <c r="D21" s="2" t="s">
        <v>21</v>
      </c>
      <c r="E21" s="1" t="s">
        <v>54</v>
      </c>
      <c r="F21" s="1" t="s">
        <v>192</v>
      </c>
      <c r="G21" s="2" t="str">
        <f>INDEX(Sheet2!A:B,MATCH(Table1[[#This Row],[Partner2]],Sheet2!A:A,0),2)</f>
        <v>Daher - Quest Aircraft</v>
      </c>
      <c r="H21" s="1" t="s">
        <v>71</v>
      </c>
      <c r="I21" s="3" t="s">
        <v>71</v>
      </c>
      <c r="J21" s="1" t="s">
        <v>111</v>
      </c>
      <c r="K21" s="1" t="s">
        <v>106</v>
      </c>
      <c r="L21" s="1" t="str">
        <f>Table1[[#This Row],[Equipment]]</f>
        <v>GSR 56</v>
      </c>
      <c r="M21" s="1" t="s">
        <v>118</v>
      </c>
    </row>
    <row r="22" spans="1:13" ht="45" x14ac:dyDescent="0.25">
      <c r="A22" s="1" t="str">
        <f>RIGHT(Table1[[#This Row],[Product]],LEN(Table1[[#This Row],[Product]])-2)</f>
        <v>01822WI</v>
      </c>
      <c r="B22" s="1" t="b">
        <f>MATCH(Table1[[#This Row],[Product]],Sheet1!$B$2:$B$32,0)&gt;0</f>
        <v>1</v>
      </c>
      <c r="C22" s="1" t="s">
        <v>16</v>
      </c>
      <c r="D22" s="2" t="s">
        <v>17</v>
      </c>
      <c r="E22" s="1" t="s">
        <v>52</v>
      </c>
      <c r="F22" s="1" t="s">
        <v>193</v>
      </c>
      <c r="G22" s="2" t="str">
        <f>INDEX(Sheet2!A:B,MATCH(Table1[[#This Row],[Partner2]],Sheet2!A:A,0),2)</f>
        <v>Finnoff Aviation Products LLC, Mid-Continent Instrument Co., Inc.</v>
      </c>
      <c r="H22" s="1" t="s">
        <v>84</v>
      </c>
      <c r="I22" s="3" t="s">
        <v>61</v>
      </c>
      <c r="J22" s="1" t="s">
        <v>112</v>
      </c>
      <c r="K22" s="1" t="s">
        <v>106</v>
      </c>
      <c r="L22" s="1" t="str">
        <f>Table1[[#This Row],[Equipment]]</f>
        <v>TB44</v>
      </c>
      <c r="M22" s="1" t="s">
        <v>118</v>
      </c>
    </row>
    <row r="23" spans="1:13" x14ac:dyDescent="0.25">
      <c r="A23" s="1" t="str">
        <f>RIGHT(Table1[[#This Row],[Product]],LEN(Table1[[#This Row],[Product]])-2)</f>
        <v>01835WI</v>
      </c>
      <c r="B23" s="1" t="b">
        <f>MATCH(Table1[[#This Row],[Product]],Sheet1!$B$2:$B$32,0)&gt;0</f>
        <v>1</v>
      </c>
      <c r="C23" s="1" t="s">
        <v>26</v>
      </c>
      <c r="D23" s="2" t="s">
        <v>27</v>
      </c>
      <c r="E23" s="1" t="s">
        <v>59</v>
      </c>
      <c r="F23" s="1" t="s">
        <v>76</v>
      </c>
      <c r="G23" s="2" t="str">
        <f>INDEX(Sheet2!A:B,MATCH(Table1[[#This Row],[Partner2]],Sheet2!A:A,0),2)</f>
        <v>Trig Avionics Limited</v>
      </c>
      <c r="H23" s="1" t="s">
        <v>76</v>
      </c>
      <c r="I23" s="3" t="s">
        <v>64</v>
      </c>
      <c r="J23" s="1" t="s">
        <v>111</v>
      </c>
      <c r="K23" s="1" t="s">
        <v>106</v>
      </c>
      <c r="L23" s="1" t="str">
        <f>Table1[[#This Row],[Equipment]]</f>
        <v>TY-96, TY-97</v>
      </c>
      <c r="M23" s="1" t="s">
        <v>118</v>
      </c>
    </row>
    <row r="24" spans="1:13" x14ac:dyDescent="0.25">
      <c r="A24" s="1" t="str">
        <f>RIGHT(Table1[[#This Row],[Product]],LEN(Table1[[#This Row],[Product]])-2)</f>
        <v>01075DE</v>
      </c>
      <c r="B24" s="1" t="b">
        <f>MATCH(Table1[[#This Row],[Product]],Sheet1!$B$2:$B$32,0)&gt;0</f>
        <v>1</v>
      </c>
      <c r="C24" s="1" t="s">
        <v>98</v>
      </c>
      <c r="D24" s="2" t="s">
        <v>97</v>
      </c>
      <c r="E24" s="1" t="s">
        <v>101</v>
      </c>
      <c r="F24" s="1" t="s">
        <v>189</v>
      </c>
      <c r="G24" s="4" t="str">
        <f>INDEX(Sheet2!A:B,MATCH(Table1[[#This Row],[Partner2]],Sheet2!A:A,0),2)</f>
        <v>Gulfstream Aerospace</v>
      </c>
      <c r="H24" s="1" t="s">
        <v>99</v>
      </c>
      <c r="J24" s="1" t="s">
        <v>113</v>
      </c>
      <c r="K24" s="1" t="s">
        <v>109</v>
      </c>
      <c r="L24" s="1" t="str">
        <f>Table1[[#This Row],[Equipment]]</f>
        <v>G150 Aircraft</v>
      </c>
      <c r="M24" s="1" t="s">
        <v>118</v>
      </c>
    </row>
    <row r="25" spans="1:13" ht="30" x14ac:dyDescent="0.25">
      <c r="A25" s="1" t="str">
        <f>RIGHT(Table1[[#This Row],[Product]],LEN(Table1[[#This Row],[Product]])-2)</f>
        <v>-20-30-A</v>
      </c>
      <c r="B25" s="1" t="e">
        <f>MATCH(Table1[[#This Row],[Product]],Sheet1!$B$2:$B$32,0)&gt;0</f>
        <v>#N/A</v>
      </c>
      <c r="C25" s="1" t="s">
        <v>122</v>
      </c>
      <c r="D25" s="2" t="s">
        <v>123</v>
      </c>
      <c r="F25" s="1" t="s">
        <v>190</v>
      </c>
      <c r="G25" s="4" t="str">
        <f>INDEX(Sheet2!A:B,MATCH(Table1[[#This Row],[Partner2]],Sheet2!A:A,0),2)</f>
        <v>Mid-Continent Instrument Co., Inc.</v>
      </c>
      <c r="H25" s="1" t="s">
        <v>77</v>
      </c>
      <c r="J25" s="1" t="s">
        <v>126</v>
      </c>
      <c r="K25" s="1" t="s">
        <v>106</v>
      </c>
      <c r="M25" s="1" t="s">
        <v>118</v>
      </c>
    </row>
    <row r="26" spans="1:13" ht="30" x14ac:dyDescent="0.25">
      <c r="A26" s="1" t="str">
        <f>RIGHT(Table1[[#This Row],[Product]],LEN(Table1[[#This Row],[Product]])-2)</f>
        <v>-20-40-B</v>
      </c>
      <c r="B26" s="1" t="e">
        <f>MATCH(Table1[[#This Row],[Product]],Sheet1!$B$2:$B$32,0)&gt;0</f>
        <v>#N/A</v>
      </c>
      <c r="C26" s="1" t="s">
        <v>124</v>
      </c>
      <c r="D26" s="2" t="s">
        <v>125</v>
      </c>
      <c r="F26" s="1" t="s">
        <v>190</v>
      </c>
      <c r="G26" s="4" t="str">
        <f>INDEX(Sheet2!A:B,MATCH(Table1[[#This Row],[Partner2]],Sheet2!A:A,0),2)</f>
        <v>Mid-Continent Instrument Co., Inc.</v>
      </c>
      <c r="H26" s="1" t="s">
        <v>77</v>
      </c>
      <c r="J26" s="1" t="s">
        <v>126</v>
      </c>
      <c r="K26" s="1" t="s">
        <v>109</v>
      </c>
      <c r="M26" s="1" t="s">
        <v>118</v>
      </c>
    </row>
    <row r="27" spans="1:13" x14ac:dyDescent="0.25">
      <c r="A27" s="1" t="str">
        <f>RIGHT(Table1[[#This Row],[Product]],LEN(Table1[[#This Row],[Product]])-2)</f>
        <v>01035DE</v>
      </c>
      <c r="B27" s="1" t="b">
        <f>MATCH(Table1[[#This Row],[Product]],Sheet1!$B$2:$B$32,0)&gt;0</f>
        <v>1</v>
      </c>
      <c r="C27" s="1" t="s">
        <v>179</v>
      </c>
      <c r="D27" s="2" t="s">
        <v>178</v>
      </c>
      <c r="E27" s="1" t="s">
        <v>180</v>
      </c>
      <c r="F27" s="1" t="s">
        <v>181</v>
      </c>
      <c r="G27" s="4" t="s">
        <v>181</v>
      </c>
      <c r="J27" s="1" t="s">
        <v>127</v>
      </c>
      <c r="K27" s="1" t="s">
        <v>106</v>
      </c>
      <c r="L27" s="1" t="str">
        <f>Table1[[#This Row],[Equipment]]</f>
        <v>AMETEK Blower</v>
      </c>
    </row>
    <row r="28" spans="1:13" x14ac:dyDescent="0.25">
      <c r="A28" s="1" t="e">
        <f>RIGHT(Table1[[#This Row],[Product]],LEN(Table1[[#This Row],[Product]])-2)</f>
        <v>#VALUE!</v>
      </c>
      <c r="B28" s="1" t="e">
        <f>MATCH(Table1[[#This Row],[Product]],Sheet1!$B$2:$B$32,0)&gt;0</f>
        <v>#N/A</v>
      </c>
      <c r="D28" s="2" t="s">
        <v>184</v>
      </c>
      <c r="E28" s="1" t="s">
        <v>182</v>
      </c>
      <c r="F28" s="4" t="s">
        <v>183</v>
      </c>
      <c r="G28" s="4" t="s">
        <v>183</v>
      </c>
      <c r="J28" s="1" t="s">
        <v>126</v>
      </c>
      <c r="K28" s="1" t="s">
        <v>109</v>
      </c>
      <c r="L28" s="1" t="str">
        <f>Table1[[#This Row],[Equipment]]</f>
        <v>ACA ionizer</v>
      </c>
    </row>
    <row r="29" spans="1:13" x14ac:dyDescent="0.25">
      <c r="A29" s="1" t="e">
        <f>RIGHT(Table1[[#This Row],[Product]],LEN(Table1[[#This Row],[Product]])-2)</f>
        <v>#VALUE!</v>
      </c>
      <c r="B29" s="1" t="e">
        <f>MATCH(Table1[[#This Row],[Product]],Sheet1!$B$2:$B$32,0)&gt;0</f>
        <v>#N/A</v>
      </c>
      <c r="D29" s="2" t="s">
        <v>185</v>
      </c>
      <c r="E29" s="1" t="s">
        <v>182</v>
      </c>
      <c r="F29" s="4" t="s">
        <v>183</v>
      </c>
      <c r="G29" s="4" t="s">
        <v>183</v>
      </c>
      <c r="J29" s="1" t="s">
        <v>126</v>
      </c>
      <c r="K29" s="1" t="s">
        <v>109</v>
      </c>
      <c r="L29" s="1" t="str">
        <f>Table1[[#This Row],[Equipment]]</f>
        <v>ACA ionizer</v>
      </c>
    </row>
    <row r="30" spans="1:13" x14ac:dyDescent="0.25">
      <c r="A30" s="1" t="e">
        <f>RIGHT(Table1[[#This Row],[Product]],LEN(Table1[[#This Row],[Product]])-2)</f>
        <v>#VALUE!</v>
      </c>
      <c r="B30" s="1" t="e">
        <f>MATCH(Table1[[#This Row],[Product]],Sheet1!$B$2:$B$32,0)&gt;0</f>
        <v>#N/A</v>
      </c>
      <c r="D30" s="2" t="s">
        <v>186</v>
      </c>
      <c r="E30" s="1" t="s">
        <v>182</v>
      </c>
      <c r="F30" s="4" t="s">
        <v>183</v>
      </c>
      <c r="G30" s="4" t="s">
        <v>183</v>
      </c>
      <c r="J30" s="1" t="s">
        <v>126</v>
      </c>
      <c r="K30" s="1" t="s">
        <v>109</v>
      </c>
      <c r="L30" s="1" t="str">
        <f>Table1[[#This Row],[Equipment]]</f>
        <v>ACA ionizer</v>
      </c>
    </row>
    <row r="31" spans="1:13" x14ac:dyDescent="0.25">
      <c r="A31" s="1" t="e">
        <f>RIGHT(Table1[[#This Row],[Product]],LEN(Table1[[#This Row],[Product]])-2)</f>
        <v>#VALUE!</v>
      </c>
      <c r="B31" s="1" t="e">
        <f>MATCH(Table1[[#This Row],[Product]],Sheet1!$B$2:$B$32,0)&gt;0</f>
        <v>#N/A</v>
      </c>
      <c r="D31" s="2" t="s">
        <v>187</v>
      </c>
      <c r="E31" s="1" t="s">
        <v>182</v>
      </c>
      <c r="F31" s="4" t="s">
        <v>183</v>
      </c>
      <c r="G31" s="4" t="s">
        <v>183</v>
      </c>
      <c r="J31" s="1" t="s">
        <v>126</v>
      </c>
      <c r="K31" s="1" t="s">
        <v>109</v>
      </c>
      <c r="L31" s="1" t="str">
        <f>Table1[[#This Row],[Equipment]]</f>
        <v>ACA ionizer</v>
      </c>
    </row>
    <row r="32" spans="1:13" x14ac:dyDescent="0.25">
      <c r="A32" s="1" t="e">
        <f>RIGHT(Table1[[#This Row],[Product]],LEN(Table1[[#This Row],[Product]])-2)</f>
        <v>#VALUE!</v>
      </c>
      <c r="F32" s="1" t="e">
        <v>#N/A</v>
      </c>
      <c r="G32" s="4" t="e">
        <f>INDEX(Sheet2!A:B,MATCH(Table1[[#This Row],[Partner2]],Sheet2!A:A,0),2)</f>
        <v>#N/A</v>
      </c>
      <c r="L32" s="8">
        <f>Table1[[#This Row],[Equipment]]</f>
        <v>0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5BBC2-20A3-4A9D-A8C9-B030125F2A68}">
  <sheetPr codeName="Sheet2"/>
  <dimension ref="A1:D32"/>
  <sheetViews>
    <sheetView tabSelected="1" workbookViewId="0">
      <selection activeCell="G13" sqref="G13"/>
    </sheetView>
  </sheetViews>
  <sheetFormatPr defaultRowHeight="15" x14ac:dyDescent="0.25"/>
  <cols>
    <col min="1" max="1" width="17.140625" style="7" customWidth="1"/>
    <col min="2" max="2" width="10.7109375" style="1" bestFit="1" customWidth="1"/>
    <col min="3" max="3" width="65.7109375" style="2" customWidth="1"/>
    <col min="4" max="4" width="30.28515625" style="9" customWidth="1"/>
  </cols>
  <sheetData>
    <row r="1" spans="1:4" ht="30" x14ac:dyDescent="0.25">
      <c r="A1" s="10" t="s">
        <v>215</v>
      </c>
      <c r="B1" s="11" t="s">
        <v>167</v>
      </c>
      <c r="C1" s="12" t="s">
        <v>208</v>
      </c>
      <c r="D1" s="11" t="s">
        <v>212</v>
      </c>
    </row>
    <row r="2" spans="1:4" ht="45" x14ac:dyDescent="0.25">
      <c r="B2" s="1" t="s">
        <v>2</v>
      </c>
      <c r="C2" s="2" t="str">
        <f>INDEX('Cheat Sheet'!C:D,MATCH(B2,'Cheat Sheet'!C:C,0),2)</f>
        <v>Installation of the Automatic Dependent Surveillance – Broadcast (ADS-B) Out Equipment using a Trig Avionics TT31 Transponder and an approved position sensor</v>
      </c>
      <c r="D2" s="9" t="str">
        <f>INDEX('Cheat Sheet'!C:F,MATCH(B2,'Cheat Sheet'!C:C,0),4)</f>
        <v>Trig</v>
      </c>
    </row>
    <row r="3" spans="1:4" ht="45" x14ac:dyDescent="0.25">
      <c r="B3" s="1" t="s">
        <v>0</v>
      </c>
      <c r="C3" s="2" t="str">
        <f>INDEX('Cheat Sheet'!C:D,MATCH(B3,'Cheat Sheet'!C:C,0),2)</f>
        <v>Installation of Automatic Dependent Surveillance – Broadcast (ADS-B) Out Equipment using a Trig Avionics TT22 Transponder and an approved Global Positioning System (GPS) Position Sensor</v>
      </c>
      <c r="D3" s="9" t="str">
        <f>INDEX('Cheat Sheet'!C:F,MATCH(B3,'Cheat Sheet'!C:C,0),4)</f>
        <v>Trig</v>
      </c>
    </row>
    <row r="4" spans="1:4" ht="30" x14ac:dyDescent="0.25">
      <c r="B4" s="1" t="s">
        <v>18</v>
      </c>
      <c r="C4" s="2" t="str">
        <f>INDEX('Cheat Sheet'!C:D,MATCH(B4,'Cheat Sheet'!C:C,0),2)</f>
        <v>Installation of the MidContinent MD302 Standby Digital Flight Instrument System</v>
      </c>
      <c r="D4" s="9" t="str">
        <f>INDEX('Cheat Sheet'!C:F,MATCH(B4,'Cheat Sheet'!C:C,0),4)</f>
        <v>Mid-Continent</v>
      </c>
    </row>
    <row r="5" spans="1:4" ht="45" x14ac:dyDescent="0.25">
      <c r="B5" s="1" t="s">
        <v>1</v>
      </c>
      <c r="C5" s="2" t="str">
        <f>INDEX('Cheat Sheet'!C:D,MATCH(B5,'Cheat Sheet'!C:C,0),2)</f>
        <v>Installation of Automatic Dependent Surveillance – Broadcast (ADS-B) Out functionality using the BendixKing KT74 Transponder and qualified position sensor</v>
      </c>
      <c r="D5" s="9" t="str">
        <f>INDEX('Cheat Sheet'!C:F,MATCH(B5,'Cheat Sheet'!C:C,0),4)</f>
        <v>BendixKing</v>
      </c>
    </row>
    <row r="6" spans="1:4" ht="30" x14ac:dyDescent="0.25">
      <c r="B6" s="1" t="s">
        <v>20</v>
      </c>
      <c r="C6" s="2" t="str">
        <f>INDEX('Cheat Sheet'!C:D,MATCH(B6,'Cheat Sheet'!C:C,0),2)</f>
        <v>Installation of the Garmin GSR 56 SATCOM transceiver and Flightstream 210 transceiver</v>
      </c>
      <c r="D6" s="9" t="str">
        <f>INDEX('Cheat Sheet'!C:F,MATCH(B6,'Cheat Sheet'!C:C,0),4)</f>
        <v>Daher</v>
      </c>
    </row>
    <row r="7" spans="1:4" x14ac:dyDescent="0.25">
      <c r="A7" s="7" t="str">
        <f>IFERROR(MATCH(B7,'Cheat Sheet'!$C$1:$C$31,0)&gt;0,"XXX")</f>
        <v>XXX</v>
      </c>
      <c r="B7" s="1" t="s">
        <v>196</v>
      </c>
      <c r="C7" s="2" t="s">
        <v>209</v>
      </c>
      <c r="D7" s="9" t="s">
        <v>213</v>
      </c>
    </row>
    <row r="8" spans="1:4" x14ac:dyDescent="0.25">
      <c r="A8" s="7" t="str">
        <f>IFERROR(MATCH(B8,'Cheat Sheet'!$C$1:$C$31,0)&gt;0,"XXX")</f>
        <v>XXX</v>
      </c>
      <c r="B8" s="1" t="s">
        <v>197</v>
      </c>
      <c r="C8" s="2" t="s">
        <v>210</v>
      </c>
      <c r="D8" s="9" t="s">
        <v>213</v>
      </c>
    </row>
    <row r="9" spans="1:4" x14ac:dyDescent="0.25">
      <c r="B9" s="1" t="s">
        <v>16</v>
      </c>
      <c r="C9" s="2" t="str">
        <f>INDEX('Cheat Sheet'!C:D,MATCH(B9,'Cheat Sheet'!C:C,0),2)</f>
        <v>Installation of a True Blue TB44 Lithium Ion Battery.</v>
      </c>
      <c r="D9" s="9" t="str">
        <f>INDEX('Cheat Sheet'!C:F,MATCH(B9,'Cheat Sheet'!C:C,0),4)</f>
        <v>Finnoff</v>
      </c>
    </row>
    <row r="10" spans="1:4" x14ac:dyDescent="0.25">
      <c r="B10" s="1" t="s">
        <v>26</v>
      </c>
      <c r="C10" s="2" t="str">
        <f>INDEX('Cheat Sheet'!C:D,MATCH(B10,'Cheat Sheet'!C:C,0),2)</f>
        <v>Installation of Trig Avionics TY-96 or TY-97 VHF Communications Radio</v>
      </c>
      <c r="D10" s="9" t="str">
        <f>INDEX('Cheat Sheet'!C:F,MATCH(B10,'Cheat Sheet'!C:C,0),4)</f>
        <v>Trig</v>
      </c>
    </row>
    <row r="11" spans="1:4" ht="30" x14ac:dyDescent="0.25">
      <c r="A11" s="7" t="str">
        <f>IFERROR(MATCH(B11,'Cheat Sheet'!$C$1:$C$31,0)&gt;0,"XXX")</f>
        <v>XXX</v>
      </c>
      <c r="B11" s="1" t="s">
        <v>195</v>
      </c>
      <c r="C11" s="2" t="s">
        <v>211</v>
      </c>
      <c r="D11" s="9" t="s">
        <v>88</v>
      </c>
    </row>
    <row r="12" spans="1:4" ht="60" x14ac:dyDescent="0.25">
      <c r="B12" s="1" t="s">
        <v>25</v>
      </c>
      <c r="C12" s="2" t="str">
        <f>INDEX('Cheat Sheet'!C:D,MATCH(B12,'Cheat Sheet'!C:C,0),2)</f>
        <v>Installation of Automatic Dependent Surveillance – Broadcast (ADS-B) Out functionality using the Trig Avionics TT22 Transponder and Freeflight Systems 1201 Global Positioning System (GPS) with Wide Area Augmentation System (WAAS)</v>
      </c>
      <c r="D12" s="9" t="str">
        <f>INDEX('Cheat Sheet'!C:F,MATCH(B12,'Cheat Sheet'!C:C,0),4)</f>
        <v>Trig</v>
      </c>
    </row>
    <row r="13" spans="1:4" ht="45" x14ac:dyDescent="0.25">
      <c r="B13" s="1" t="s">
        <v>5</v>
      </c>
      <c r="C13" s="2" t="str">
        <f>INDEX('Cheat Sheet'!C:D,MATCH(B13,'Cheat Sheet'!C:C,0),2)</f>
        <v>Installation of Automatic Dependent Surveillance - Broadcast (ADS-B) Out and in functionality using the BendixKing KT74 Transponder and qualified position sensor and ADS-B In Receiver</v>
      </c>
      <c r="D13" s="9" t="str">
        <f>INDEX('Cheat Sheet'!C:F,MATCH(B13,'Cheat Sheet'!C:C,0),4)</f>
        <v>BendixKing</v>
      </c>
    </row>
    <row r="14" spans="1:4" ht="45" x14ac:dyDescent="0.25">
      <c r="B14" s="1" t="s">
        <v>10</v>
      </c>
      <c r="C14" s="2" t="str">
        <f>INDEX('Cheat Sheet'!C:D,MATCH(B14,'Cheat Sheet'!C:C,0),2)</f>
        <v>Installation of Automatic Dependent Surveillance – Broadcast (ADS-B) Out functionality using the Garmin G330ES or G33H ES Transponder and qualified position sensor</v>
      </c>
      <c r="D14" s="9" t="str">
        <f>INDEX('Cheat Sheet'!C:F,MATCH(B14,'Cheat Sheet'!C:C,0),4)</f>
        <v>Peregrine</v>
      </c>
    </row>
    <row r="15" spans="1:4" ht="60" x14ac:dyDescent="0.25">
      <c r="B15" s="1" t="s">
        <v>15</v>
      </c>
      <c r="C15" s="2" t="str">
        <f>INDEX('Cheat Sheet'!C:D,MATCH(B15,'Cheat Sheet'!C:C,0),2)</f>
        <v>Replacement of Honeywell (formerly Sperry) ED-800 cathode ray tube (CRT) display, part number (p/n) 7003110-901/-902, with Esterline CMC Electronics CMA-6800 multi-purpose liquid crystal display (LCD), p/n 100-604045-001/-002, respectively</v>
      </c>
      <c r="D15" s="9" t="str">
        <f>INDEX('Cheat Sheet'!C:F,MATCH(B15,'Cheat Sheet'!C:C,0),4)</f>
        <v>DAC International</v>
      </c>
    </row>
    <row r="16" spans="1:4" ht="45" x14ac:dyDescent="0.25">
      <c r="B16" s="1" t="s">
        <v>13</v>
      </c>
      <c r="C16" s="2" t="str">
        <f>INDEX('Cheat Sheet'!C:D,MATCH(B16,'Cheat Sheet'!C:C,0),2)</f>
        <v>Installation of Automatic Dependent Surveillance – Broadcast (ADS-B) Out functionality using the Garmin GTX 330ES transponder and a qualified position sensor</v>
      </c>
      <c r="D16" s="9" t="str">
        <f>INDEX('Cheat Sheet'!C:F,MATCH(B16,'Cheat Sheet'!C:C,0),4)</f>
        <v>Peregrine</v>
      </c>
    </row>
    <row r="17" spans="1:4" ht="30" x14ac:dyDescent="0.25">
      <c r="B17" s="1" t="s">
        <v>4</v>
      </c>
      <c r="C17" s="2" t="str">
        <f>INDEX('Cheat Sheet'!C:D,MATCH(B17,'Cheat Sheet'!C:C,0),2)</f>
        <v>Installation of Garmin GTX 335/335R and GTX345/345R transponders to provide ADS-B Out and In functionality</v>
      </c>
      <c r="D17" s="9" t="str">
        <f>INDEX('Cheat Sheet'!C:F,MATCH(B17,'Cheat Sheet'!C:C,0),4)</f>
        <v>SEAerospace</v>
      </c>
    </row>
    <row r="18" spans="1:4" ht="30" x14ac:dyDescent="0.25">
      <c r="A18" s="7" t="str">
        <f>IFERROR(MATCH(B18,'Cheat Sheet'!$C$1:$C$31,0)&gt;0,"XXX")</f>
        <v>XXX</v>
      </c>
      <c r="B18" s="1" t="s">
        <v>198</v>
      </c>
      <c r="C18" s="2" t="s">
        <v>199</v>
      </c>
      <c r="D18" s="9" t="s">
        <v>76</v>
      </c>
    </row>
    <row r="19" spans="1:4" ht="30" x14ac:dyDescent="0.25">
      <c r="B19" s="1" t="s">
        <v>8</v>
      </c>
      <c r="C19" s="2" t="str">
        <f>INDEX('Cheat Sheet'!C:D,MATCH(B19,'Cheat Sheet'!C:C,0),2)</f>
        <v>Installation of BendixKing CAS 67B Traffic Alert and Collision Avoidance System (TCAS) II Version 7.1</v>
      </c>
      <c r="D19" s="9" t="str">
        <f>INDEX('Cheat Sheet'!C:F,MATCH(B19,'Cheat Sheet'!C:C,0),4)</f>
        <v>Peregrine</v>
      </c>
    </row>
    <row r="20" spans="1:4" ht="75" x14ac:dyDescent="0.25">
      <c r="B20" s="1" t="s">
        <v>11</v>
      </c>
      <c r="C20" s="2" t="str">
        <f>INDEX('Cheat Sheet'!C:D,MATCH(B20,'Cheat Sheet'!C:C,0),2)</f>
        <v>Replacement of Honeywell (formerly Sperry) ED-800 cathode ray tube (CRT) display, part number 7003110-90 I or 7003110-902, with Esterline CMC Electronics CMA-6800 multi-purpose liquid crystal display (LCD), in accordance with Master Drawing List, E-DI-15-0002, Rev. A, dated March 11, 2016, or later FAA approved revision.</v>
      </c>
      <c r="D20" s="9" t="str">
        <f>INDEX('Cheat Sheet'!C:F,MATCH(B20,'Cheat Sheet'!C:C,0),4)</f>
        <v>DAC International</v>
      </c>
    </row>
    <row r="21" spans="1:4" ht="45" x14ac:dyDescent="0.25">
      <c r="B21" s="1" t="s">
        <v>12</v>
      </c>
      <c r="C21" s="2" t="str">
        <f>INDEX('Cheat Sheet'!C:D,MATCH(B21,'Cheat Sheet'!C:C,0),2)</f>
        <v>Installation of Automatic Dependent Surveillance – Broadcast (ADS-B) Out and In functionality using the Garmin GTX 335R and GTX 345R Transponders plus qualified position sensor</v>
      </c>
      <c r="D21" s="9" t="str">
        <f>INDEX('Cheat Sheet'!C:F,MATCH(B21,'Cheat Sheet'!C:C,0),4)</f>
        <v>SEAerospace</v>
      </c>
    </row>
    <row r="22" spans="1:4" ht="60" x14ac:dyDescent="0.25">
      <c r="A22" s="7" t="str">
        <f>IFERROR(MATCH(B22,'Cheat Sheet'!$C$1:$C$31,0)&gt;0,"XXX")</f>
        <v>XXX</v>
      </c>
      <c r="B22" s="1" t="s">
        <v>200</v>
      </c>
      <c r="C22" s="2" t="s">
        <v>205</v>
      </c>
      <c r="D22" s="9" t="s">
        <v>214</v>
      </c>
    </row>
    <row r="23" spans="1:4" x14ac:dyDescent="0.25">
      <c r="B23" s="1" t="s">
        <v>3</v>
      </c>
      <c r="C23" s="2" t="str">
        <f>INDEX('Cheat Sheet'!C:D,MATCH(B23,'Cheat Sheet'!C:C,0),2)</f>
        <v>Installation of MD215 Standby Altimeter</v>
      </c>
      <c r="D23" s="9" t="str">
        <f>INDEX('Cheat Sheet'!C:F,MATCH(B23,'Cheat Sheet'!C:C,0),4)</f>
        <v>Mid-Continent</v>
      </c>
    </row>
    <row r="24" spans="1:4" x14ac:dyDescent="0.25">
      <c r="B24" s="1" t="s">
        <v>9</v>
      </c>
      <c r="C24" s="2" t="str">
        <f>INDEX('Cheat Sheet'!C:D,MATCH(B24,'Cheat Sheet'!C:C,0),2)</f>
        <v>Installation of Becker Avionics BXT6553 transponder</v>
      </c>
      <c r="D24" s="9" t="s">
        <v>213</v>
      </c>
    </row>
    <row r="25" spans="1:4" ht="30" x14ac:dyDescent="0.25">
      <c r="B25" s="1" t="s">
        <v>24</v>
      </c>
      <c r="C25" s="2" t="str">
        <f>INDEX('Cheat Sheet'!C:D,MATCH(B25,'Cheat Sheet'!C:C,0),2)</f>
        <v xml:space="preserve">Installation of Grumman LitefLCR-100 Attitude Heading and Reference System (AHRS) in place of existing LCR-93 AHRS </v>
      </c>
      <c r="D25" s="9" t="str">
        <f>INDEX('Cheat Sheet'!C:F,MATCH(B25,'Cheat Sheet'!C:C,0),4)</f>
        <v>DAC International</v>
      </c>
    </row>
    <row r="26" spans="1:4" ht="30" x14ac:dyDescent="0.25">
      <c r="B26" s="1" t="s">
        <v>22</v>
      </c>
      <c r="C26" s="2" t="str">
        <f>INDEX('Cheat Sheet'!C:D,MATCH(B26,'Cheat Sheet'!C:C,0),2)</f>
        <v>Installation of dual BendixKing KT 74 Transponders and optional BendixKing KGX 150 Receiver</v>
      </c>
      <c r="D26" s="9" t="str">
        <f>INDEX('Cheat Sheet'!C:F,MATCH(B26,'Cheat Sheet'!C:C,0),4)</f>
        <v>BendixKing</v>
      </c>
    </row>
    <row r="27" spans="1:4" x14ac:dyDescent="0.25">
      <c r="A27" s="7" t="str">
        <f>IFERROR(MATCH(B27,'Cheat Sheet'!$C$1:$C$31,0)&gt;0,"XXX")</f>
        <v>XXX</v>
      </c>
      <c r="B27" s="1" t="s">
        <v>201</v>
      </c>
      <c r="C27" s="2" t="s">
        <v>206</v>
      </c>
      <c r="D27" s="9" t="s">
        <v>213</v>
      </c>
    </row>
    <row r="28" spans="1:4" ht="60" x14ac:dyDescent="0.25">
      <c r="A28" s="7" t="str">
        <f>IFERROR(MATCH(B28,'Cheat Sheet'!$C$1:$C$31,0)&gt;0,"XXX")</f>
        <v>XXX</v>
      </c>
      <c r="B28" s="1" t="s">
        <v>202</v>
      </c>
      <c r="C28" s="2" t="s">
        <v>207</v>
      </c>
      <c r="D28" s="9" t="s">
        <v>213</v>
      </c>
    </row>
    <row r="29" spans="1:4" x14ac:dyDescent="0.25">
      <c r="B29" s="1" t="s">
        <v>6</v>
      </c>
      <c r="C29" s="2" t="str">
        <f>INDEX('Cheat Sheet'!C:D,MATCH(B29,'Cheat Sheet'!C:C,0),2)</f>
        <v>Installation of Becker Avionics BXT6553 transponder</v>
      </c>
      <c r="D29" s="9" t="str">
        <f>INDEX('Cheat Sheet'!C:F,MATCH(B29,'Cheat Sheet'!C:C,0),4)</f>
        <v>DAC International</v>
      </c>
    </row>
    <row r="30" spans="1:4" x14ac:dyDescent="0.25">
      <c r="B30" s="1" t="s">
        <v>179</v>
      </c>
      <c r="C30" s="2" t="str">
        <f>INDEX('Cheat Sheet'!C:D,MATCH(B30,'Cheat Sheet'!C:C,0),2)</f>
        <v xml:space="preserve"> Installation of replacement aft bay Heat Exchanger Blower Fans </v>
      </c>
      <c r="D30" s="9" t="str">
        <f>INDEX('Cheat Sheet'!C:F,MATCH(B30,'Cheat Sheet'!C:C,0),4)</f>
        <v>Talon Air</v>
      </c>
    </row>
    <row r="31" spans="1:4" ht="30" x14ac:dyDescent="0.25">
      <c r="A31" s="7" t="str">
        <f>IFERROR(MATCH(B31,'Cheat Sheet'!$C$1:$C$31,0)&gt;0,"XXX")</f>
        <v>XXX</v>
      </c>
      <c r="B31" s="1" t="s">
        <v>203</v>
      </c>
      <c r="C31" s="2" t="s">
        <v>204</v>
      </c>
      <c r="D31" s="9" t="s">
        <v>189</v>
      </c>
    </row>
    <row r="32" spans="1:4" x14ac:dyDescent="0.25">
      <c r="B32" s="1" t="s">
        <v>98</v>
      </c>
      <c r="C32" s="2" t="str">
        <f>INDEX('Cheat Sheet'!C:D,MATCH(B32,'Cheat Sheet'!C:C,0),2)</f>
        <v>Installation of Supplemental Flap/Slat Actuator Heater System</v>
      </c>
      <c r="D32" s="9" t="str">
        <f>INDEX('Cheat Sheet'!C:F,MATCH(B32,'Cheat Sheet'!C:C,0),4)</f>
        <v>Peregrine</v>
      </c>
    </row>
  </sheetData>
  <autoFilter ref="A1:D32" xr:uid="{B155BBC2-20A3-4A9D-A8C9-B030125F2A68}"/>
  <sortState xmlns:xlrd2="http://schemas.microsoft.com/office/spreadsheetml/2017/richdata2" ref="B1:B41">
    <sortCondition ref="B1:B41"/>
  </sortState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F1CA1-35A5-4D05-A898-F881DD7C69F8}">
  <sheetPr codeName="Sheet3"/>
  <dimension ref="B1"/>
  <sheetViews>
    <sheetView workbookViewId="0">
      <selection activeCell="C7" sqref="C7"/>
    </sheetView>
  </sheetViews>
  <sheetFormatPr defaultRowHeight="15" x14ac:dyDescent="0.25"/>
  <cols>
    <col min="2" max="2" width="10.7109375" bestFit="1" customWidth="1"/>
  </cols>
  <sheetData>
    <row r="1" spans="2:2" x14ac:dyDescent="0.25">
      <c r="B1" t="s">
        <v>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8164F-C1EB-4BE0-9F06-D62503B54B2B}">
  <sheetPr codeName="Sheet4"/>
  <dimension ref="A1:C11"/>
  <sheetViews>
    <sheetView workbookViewId="0">
      <selection activeCell="A12" sqref="A12"/>
    </sheetView>
  </sheetViews>
  <sheetFormatPr defaultRowHeight="15" x14ac:dyDescent="0.25"/>
  <cols>
    <col min="1" max="1" width="22.28515625" bestFit="1" customWidth="1"/>
    <col min="2" max="2" width="28.85546875" customWidth="1"/>
  </cols>
  <sheetData>
    <row r="1" spans="1:3" x14ac:dyDescent="0.25">
      <c r="A1" t="s">
        <v>76</v>
      </c>
      <c r="B1" t="str">
        <f>PROPER(C1)</f>
        <v>Trig Avionics Limited</v>
      </c>
      <c r="C1" t="s">
        <v>86</v>
      </c>
    </row>
    <row r="2" spans="1:3" x14ac:dyDescent="0.25">
      <c r="A2" t="s">
        <v>77</v>
      </c>
      <c r="B2" t="str">
        <f t="shared" ref="B2:B9" si="0">PROPER(C2)</f>
        <v>Mid-Continent Instrument Co., Inc.</v>
      </c>
      <c r="C2" t="s">
        <v>87</v>
      </c>
    </row>
    <row r="3" spans="1:3" x14ac:dyDescent="0.25">
      <c r="A3" t="s">
        <v>78</v>
      </c>
      <c r="B3" t="s">
        <v>88</v>
      </c>
      <c r="C3" t="s">
        <v>88</v>
      </c>
    </row>
    <row r="4" spans="1:3" x14ac:dyDescent="0.25">
      <c r="A4" t="s">
        <v>79</v>
      </c>
      <c r="B4" t="str">
        <f>C4</f>
        <v>Peregrine / BendixKing</v>
      </c>
      <c r="C4" t="s">
        <v>89</v>
      </c>
    </row>
    <row r="5" spans="1:3" x14ac:dyDescent="0.25">
      <c r="A5" t="s">
        <v>80</v>
      </c>
      <c r="B5" t="s">
        <v>90</v>
      </c>
      <c r="C5" t="s">
        <v>90</v>
      </c>
    </row>
    <row r="6" spans="1:3" x14ac:dyDescent="0.25">
      <c r="A6" t="s">
        <v>81</v>
      </c>
      <c r="B6" t="str">
        <f t="shared" si="0"/>
        <v>Peregrine / Garmininternational</v>
      </c>
      <c r="C6" t="s">
        <v>91</v>
      </c>
    </row>
    <row r="7" spans="1:3" x14ac:dyDescent="0.25">
      <c r="A7" t="s">
        <v>82</v>
      </c>
      <c r="B7" t="str">
        <f t="shared" si="0"/>
        <v>Southeast Aerospace, Inc.</v>
      </c>
      <c r="C7" t="s">
        <v>92</v>
      </c>
    </row>
    <row r="8" spans="1:3" x14ac:dyDescent="0.25">
      <c r="A8" t="s">
        <v>83</v>
      </c>
      <c r="B8" t="s">
        <v>94</v>
      </c>
      <c r="C8" t="s">
        <v>93</v>
      </c>
    </row>
    <row r="9" spans="1:3" x14ac:dyDescent="0.25">
      <c r="A9" t="s">
        <v>71</v>
      </c>
      <c r="B9" t="str">
        <f t="shared" si="0"/>
        <v>Daher - Quest Aircraft</v>
      </c>
      <c r="C9" t="s">
        <v>95</v>
      </c>
    </row>
    <row r="10" spans="1:3" x14ac:dyDescent="0.25">
      <c r="A10" t="s">
        <v>84</v>
      </c>
      <c r="B10" t="s">
        <v>96</v>
      </c>
      <c r="C10" t="s">
        <v>96</v>
      </c>
    </row>
    <row r="11" spans="1:3" x14ac:dyDescent="0.25">
      <c r="A11" t="s">
        <v>99</v>
      </c>
      <c r="B11" t="s">
        <v>100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C9992-78C5-44F1-8F06-E91DFADB253A}">
  <sheetPr codeName="Sheet5"/>
  <dimension ref="A1:J26"/>
  <sheetViews>
    <sheetView workbookViewId="0">
      <selection activeCell="F5" sqref="F5"/>
    </sheetView>
  </sheetViews>
  <sheetFormatPr defaultRowHeight="15" x14ac:dyDescent="0.25"/>
  <cols>
    <col min="1" max="1" width="16" style="1" customWidth="1"/>
    <col min="2" max="2" width="68" style="2" customWidth="1"/>
    <col min="3" max="3" width="13.28515625" style="1" bestFit="1" customWidth="1"/>
    <col min="4" max="4" width="13.28515625" style="7" customWidth="1"/>
    <col min="5" max="5" width="9.140625" style="1"/>
    <col min="6" max="6" width="109.140625" style="1" bestFit="1" customWidth="1"/>
    <col min="7" max="10" width="9.140625" style="1"/>
  </cols>
  <sheetData>
    <row r="1" spans="1:10" x14ac:dyDescent="0.25">
      <c r="A1" s="1" t="s">
        <v>167</v>
      </c>
      <c r="B1" s="5" t="s">
        <v>68</v>
      </c>
      <c r="C1" s="1" t="s">
        <v>168</v>
      </c>
      <c r="D1" s="7" t="s">
        <v>172</v>
      </c>
      <c r="F1" s="1" t="s">
        <v>173</v>
      </c>
      <c r="G1" s="1" t="s">
        <v>174</v>
      </c>
      <c r="H1" s="1" t="s">
        <v>175</v>
      </c>
      <c r="I1" s="1" t="s">
        <v>176</v>
      </c>
      <c r="J1" t="s">
        <v>177</v>
      </c>
    </row>
    <row r="2" spans="1:10" ht="45" x14ac:dyDescent="0.25">
      <c r="A2" s="1" t="str">
        <f t="shared" ref="A2:A18" si="0">SUBSTITUTE(SUBSTITUTE(RIGHT(F2,LEN(F2)-SEARCH("01/",F2)-2),".pdf",""),"_AML","")</f>
        <v>SA00744DE</v>
      </c>
      <c r="B2" s="2" t="str">
        <f>INDEX(Table1[[#All],[Product]:[Column7]],MATCH($A2,Table1[[#All],[Product]],0),MATCH(B$1,Table1[[#Headers],[Product]:[Column7]],0))</f>
        <v>Installation of the Automatic Dependent Surveillance – Broadcast (ADS-B) Out Equipment using a Trig Avionics TT31 Transponder and an approved position sensor</v>
      </c>
      <c r="C2" s="1" t="str">
        <f t="shared" ref="C2:C19" si="1">IF(LEN(F2)=LEN(SUBSTITUTE(F2,"AML","")),"STC Page","AML")</f>
        <v>AML</v>
      </c>
      <c r="D2" s="7">
        <f>VALUE(LEFT(G2,SEARCH("(",G2)-1))</f>
        <v>7</v>
      </c>
      <c r="E2" s="1">
        <v>1</v>
      </c>
      <c r="F2" s="1" t="s">
        <v>128</v>
      </c>
      <c r="G2" s="1" t="s">
        <v>129</v>
      </c>
      <c r="H2" s="1" t="s">
        <v>130</v>
      </c>
      <c r="I2" s="1" t="s">
        <v>131</v>
      </c>
      <c r="J2" s="1">
        <v>0</v>
      </c>
    </row>
    <row r="3" spans="1:10" ht="30" x14ac:dyDescent="0.25">
      <c r="A3" s="1" t="str">
        <f t="shared" si="0"/>
        <v>ST00790DE</v>
      </c>
      <c r="B3" s="2" t="str">
        <f>INDEX(Table1[[#All],[Product]:[Column7]],MATCH($A3,Table1[[#All],[Product]],0),MATCH(B$1,Table1[[#Headers],[Product]:[Column7]],0))</f>
        <v>Installation of BendixKing CAS 67B Traffic Alert and Collision Avoidance System (TCAS) II Version 7.1</v>
      </c>
      <c r="C3" s="1" t="str">
        <f t="shared" si="1"/>
        <v>AML</v>
      </c>
      <c r="D3" s="7">
        <f t="shared" ref="D3:D26" si="2">VALUE(LEFT(G3,SEARCH("(",G3)-1))</f>
        <v>6</v>
      </c>
      <c r="E3" s="1">
        <v>2</v>
      </c>
      <c r="F3" s="1" t="s">
        <v>132</v>
      </c>
      <c r="G3" s="1" t="s">
        <v>133</v>
      </c>
      <c r="H3" s="1" t="s">
        <v>134</v>
      </c>
      <c r="I3" s="1" t="s">
        <v>131</v>
      </c>
      <c r="J3" s="1">
        <v>0</v>
      </c>
    </row>
    <row r="4" spans="1:10" ht="45" x14ac:dyDescent="0.25">
      <c r="A4" s="1" t="str">
        <f t="shared" si="0"/>
        <v>SA00756DE</v>
      </c>
      <c r="B4" s="2" t="str">
        <f>INDEX(Table1[[#All],[Product]:[Column7]],MATCH($A4,Table1[[#All],[Product]],0),MATCH(B$1,Table1[[#Headers],[Product]:[Column7]],0))</f>
        <v>Installation of Automatic Dependent Surveillance – Broadcast (ADS-B) Out Equipment using a Trig Avionics TT22 Transponder and an approved Global Positioning System (GPS) Position Sensor</v>
      </c>
      <c r="C4" s="1" t="str">
        <f t="shared" si="1"/>
        <v>AML</v>
      </c>
      <c r="D4" s="7">
        <f t="shared" si="2"/>
        <v>5</v>
      </c>
      <c r="E4" s="1">
        <v>3</v>
      </c>
      <c r="F4" s="1" t="s">
        <v>135</v>
      </c>
      <c r="G4" s="1" t="s">
        <v>136</v>
      </c>
      <c r="H4" s="1" t="s">
        <v>130</v>
      </c>
      <c r="I4" s="1" t="s">
        <v>131</v>
      </c>
      <c r="J4" s="1">
        <v>0</v>
      </c>
    </row>
    <row r="5" spans="1:10" ht="30" x14ac:dyDescent="0.25">
      <c r="A5" s="1" t="str">
        <f t="shared" si="0"/>
        <v>SR00925DE</v>
      </c>
      <c r="B5" s="2" t="str">
        <f>INDEX(Table1[[#All],[Product]:[Column7]],MATCH($A5,Table1[[#All],[Product]],0),MATCH(B$1,Table1[[#Headers],[Product]:[Column7]],0))</f>
        <v>Installation of Garmin GTX 335/335R and GTX345/345R transponders to provide ADS-B Out and In functionality</v>
      </c>
      <c r="C5" s="1" t="str">
        <f t="shared" si="1"/>
        <v>AML</v>
      </c>
      <c r="D5" s="7">
        <f t="shared" si="2"/>
        <v>5</v>
      </c>
      <c r="E5" s="1">
        <v>4</v>
      </c>
      <c r="F5" s="1" t="s">
        <v>137</v>
      </c>
      <c r="G5" s="1" t="s">
        <v>136</v>
      </c>
      <c r="H5" s="1" t="s">
        <v>138</v>
      </c>
      <c r="I5" s="1" t="s">
        <v>131</v>
      </c>
      <c r="J5" s="1">
        <v>0</v>
      </c>
    </row>
    <row r="6" spans="1:10" ht="45" x14ac:dyDescent="0.25">
      <c r="A6" s="1" t="str">
        <f t="shared" si="0"/>
        <v>SA00744DE</v>
      </c>
      <c r="B6" s="2" t="str">
        <f>INDEX(Table1[[#All],[Product]:[Column7]],MATCH($A6,Table1[[#All],[Product]],0),MATCH(B$1,Table1[[#Headers],[Product]:[Column7]],0))</f>
        <v>Installation of the Automatic Dependent Surveillance – Broadcast (ADS-B) Out Equipment using a Trig Avionics TT31 Transponder and an approved position sensor</v>
      </c>
      <c r="C6" s="1" t="str">
        <f t="shared" si="1"/>
        <v>STC Page</v>
      </c>
      <c r="D6" s="7">
        <f t="shared" si="2"/>
        <v>4</v>
      </c>
      <c r="E6" s="1">
        <v>5</v>
      </c>
      <c r="F6" s="1" t="s">
        <v>139</v>
      </c>
      <c r="G6" s="1" t="s">
        <v>140</v>
      </c>
      <c r="H6" s="1" t="s">
        <v>141</v>
      </c>
      <c r="I6" s="1" t="s">
        <v>131</v>
      </c>
      <c r="J6" s="1">
        <v>0</v>
      </c>
    </row>
    <row r="7" spans="1:10" ht="45" x14ac:dyDescent="0.25">
      <c r="A7" s="1" t="str">
        <f t="shared" si="0"/>
        <v>SR00828DE</v>
      </c>
      <c r="B7" s="2" t="str">
        <f>INDEX(Table1[[#All],[Product]:[Column7]],MATCH($A7,Table1[[#All],[Product]],0),MATCH(B$1,Table1[[#Headers],[Product]:[Column7]],0))</f>
        <v>Installation of Automatic Dependent Surveillance – Broadcast (ADS-B) Out functionality using the Garmin G330ES or G33H ES Transponder and qualified position sensor</v>
      </c>
      <c r="C7" s="1" t="str">
        <f t="shared" si="1"/>
        <v>AML</v>
      </c>
      <c r="D7" s="7">
        <f t="shared" si="2"/>
        <v>4</v>
      </c>
      <c r="E7" s="1">
        <v>6</v>
      </c>
      <c r="F7" s="1" t="s">
        <v>142</v>
      </c>
      <c r="G7" s="1" t="s">
        <v>140</v>
      </c>
      <c r="H7" s="1" t="s">
        <v>143</v>
      </c>
      <c r="I7" s="1" t="s">
        <v>131</v>
      </c>
      <c r="J7" s="1">
        <v>0</v>
      </c>
    </row>
    <row r="8" spans="1:10" ht="30" x14ac:dyDescent="0.25">
      <c r="A8" s="1" t="str">
        <f t="shared" si="0"/>
        <v>SR00925DE</v>
      </c>
      <c r="B8" s="2" t="str">
        <f>INDEX(Table1[[#All],[Product]:[Column7]],MATCH($A8,Table1[[#All],[Product]],0),MATCH(B$1,Table1[[#Headers],[Product]:[Column7]],0))</f>
        <v>Installation of Garmin GTX 335/335R and GTX345/345R transponders to provide ADS-B Out and In functionality</v>
      </c>
      <c r="C8" s="1" t="str">
        <f t="shared" si="1"/>
        <v>STC Page</v>
      </c>
      <c r="D8" s="7">
        <f t="shared" si="2"/>
        <v>4</v>
      </c>
      <c r="E8" s="1">
        <v>7</v>
      </c>
      <c r="F8" s="1" t="s">
        <v>144</v>
      </c>
      <c r="G8" s="1" t="s">
        <v>140</v>
      </c>
      <c r="H8" s="1" t="s">
        <v>138</v>
      </c>
      <c r="I8" s="1" t="s">
        <v>131</v>
      </c>
      <c r="J8" s="1">
        <v>0</v>
      </c>
    </row>
    <row r="9" spans="1:10" ht="45" x14ac:dyDescent="0.25">
      <c r="A9" s="1" t="str">
        <f t="shared" si="0"/>
        <v>ST00835DE</v>
      </c>
      <c r="B9" s="2" t="str">
        <f>INDEX(Table1[[#All],[Product]:[Column7]],MATCH($A9,Table1[[#All],[Product]],0),MATCH(B$1,Table1[[#Headers],[Product]:[Column7]],0))</f>
        <v>Installation of Automatic Dependent Surveillance – Broadcast (ADS-B) Out and In functionality using the Garmin GTX 335R and GTX 345R Transponders plus qualified position sensor</v>
      </c>
      <c r="C9" s="1" t="str">
        <f t="shared" si="1"/>
        <v>AML</v>
      </c>
      <c r="D9" s="7">
        <f t="shared" si="2"/>
        <v>4</v>
      </c>
      <c r="E9" s="1">
        <v>8</v>
      </c>
      <c r="F9" s="1" t="s">
        <v>145</v>
      </c>
      <c r="G9" s="1" t="s">
        <v>140</v>
      </c>
      <c r="H9" s="1" t="s">
        <v>141</v>
      </c>
      <c r="I9" s="1" t="s">
        <v>131</v>
      </c>
      <c r="J9" s="1">
        <v>0</v>
      </c>
    </row>
    <row r="10" spans="1:10" x14ac:dyDescent="0.25">
      <c r="A10" s="1" t="str">
        <f t="shared" si="0"/>
        <v>ST00934DE</v>
      </c>
      <c r="B10" s="2" t="str">
        <f>INDEX(Table1[[#All],[Product]:[Column7]],MATCH($A10,Table1[[#All],[Product]],0),MATCH(B$1,Table1[[#Headers],[Product]:[Column7]],0))</f>
        <v>Installation of Becker Avionics BXT6553 transponder</v>
      </c>
      <c r="C10" s="1" t="str">
        <f t="shared" si="1"/>
        <v>AML</v>
      </c>
      <c r="D10" s="7">
        <f t="shared" si="2"/>
        <v>4</v>
      </c>
      <c r="E10" s="1">
        <v>9</v>
      </c>
      <c r="F10" s="1" t="s">
        <v>146</v>
      </c>
      <c r="G10" s="1" t="s">
        <v>140</v>
      </c>
      <c r="H10" s="1" t="s">
        <v>141</v>
      </c>
      <c r="I10" s="1" t="s">
        <v>131</v>
      </c>
      <c r="J10" s="1">
        <v>0</v>
      </c>
    </row>
    <row r="11" spans="1:10" ht="45" x14ac:dyDescent="0.25">
      <c r="A11" s="1" t="str">
        <f t="shared" si="0"/>
        <v>SA00765DE</v>
      </c>
      <c r="B11" s="2" t="str">
        <f>INDEX(Table1[[#All],[Product]:[Column7]],MATCH($A11,Table1[[#All],[Product]],0),MATCH(B$1,Table1[[#Headers],[Product]:[Column7]],0))</f>
        <v>Installation of Automatic Dependent Surveillance – Broadcast (ADS-B) Out functionality using the BendixKing KT74 Transponder and qualified position sensor</v>
      </c>
      <c r="C11" s="1" t="str">
        <f t="shared" si="1"/>
        <v>STC Page</v>
      </c>
      <c r="D11" s="7">
        <f t="shared" si="2"/>
        <v>3</v>
      </c>
      <c r="E11" s="1">
        <v>10</v>
      </c>
      <c r="F11" s="1" t="s">
        <v>147</v>
      </c>
      <c r="G11" s="1" t="s">
        <v>148</v>
      </c>
      <c r="H11" s="1" t="s">
        <v>138</v>
      </c>
      <c r="I11" s="1" t="s">
        <v>131</v>
      </c>
      <c r="J11" s="1">
        <v>0</v>
      </c>
    </row>
    <row r="12" spans="1:10" ht="60" x14ac:dyDescent="0.25">
      <c r="A12" s="1" t="str">
        <f t="shared" si="0"/>
        <v>SR00764DE</v>
      </c>
      <c r="B12" s="2" t="str">
        <f>INDEX(Table1[[#All],[Product]:[Column7]],MATCH($A12,Table1[[#All],[Product]],0),MATCH(B$1,Table1[[#Headers],[Product]:[Column7]],0))</f>
        <v>Installation of Automatic Dependent Surveillance – Broadcast (ADS-B) Out functionality using the Trig Avionics TT22 Transponder and Freeflight Systems 1201 Global Positioning System (GPS) with Wide Area Augmentation System (WAAS)</v>
      </c>
      <c r="C12" s="1" t="str">
        <f t="shared" si="1"/>
        <v>STC Page</v>
      </c>
      <c r="D12" s="7">
        <f t="shared" si="2"/>
        <v>3</v>
      </c>
      <c r="E12" s="1">
        <v>11</v>
      </c>
      <c r="F12" s="1" t="s">
        <v>149</v>
      </c>
      <c r="G12" s="1" t="s">
        <v>148</v>
      </c>
      <c r="H12" s="1" t="s">
        <v>143</v>
      </c>
      <c r="I12" s="1" t="s">
        <v>131</v>
      </c>
      <c r="J12" s="1">
        <v>0</v>
      </c>
    </row>
    <row r="13" spans="1:10" ht="45" x14ac:dyDescent="0.25">
      <c r="A13" s="1" t="str">
        <f t="shared" si="0"/>
        <v>SR00828DE</v>
      </c>
      <c r="B13" s="2" t="str">
        <f>INDEX(Table1[[#All],[Product]:[Column7]],MATCH($A13,Table1[[#All],[Product]],0),MATCH(B$1,Table1[[#Headers],[Product]:[Column7]],0))</f>
        <v>Installation of Automatic Dependent Surveillance – Broadcast (ADS-B) Out functionality using the Garmin G330ES or G33H ES Transponder and qualified position sensor</v>
      </c>
      <c r="C13" s="1" t="str">
        <f t="shared" si="1"/>
        <v>STC Page</v>
      </c>
      <c r="D13" s="7">
        <f t="shared" si="2"/>
        <v>3</v>
      </c>
      <c r="E13" s="1">
        <v>12</v>
      </c>
      <c r="F13" s="1" t="s">
        <v>150</v>
      </c>
      <c r="G13" s="1" t="s">
        <v>148</v>
      </c>
      <c r="H13" s="1" t="s">
        <v>143</v>
      </c>
      <c r="I13" s="1" t="s">
        <v>131</v>
      </c>
      <c r="J13" s="1">
        <v>0</v>
      </c>
    </row>
    <row r="14" spans="1:10" ht="30" x14ac:dyDescent="0.25">
      <c r="A14" s="1" t="str">
        <f t="shared" si="0"/>
        <v>ST00790DE</v>
      </c>
      <c r="B14" s="2" t="str">
        <f>INDEX(Table1[[#All],[Product]:[Column7]],MATCH($A14,Table1[[#All],[Product]],0),MATCH(B$1,Table1[[#Headers],[Product]:[Column7]],0))</f>
        <v>Installation of BendixKing CAS 67B Traffic Alert and Collision Avoidance System (TCAS) II Version 7.1</v>
      </c>
      <c r="C14" s="1" t="str">
        <f t="shared" si="1"/>
        <v>STC Page</v>
      </c>
      <c r="D14" s="7">
        <f t="shared" si="2"/>
        <v>3</v>
      </c>
      <c r="E14" s="1">
        <v>13</v>
      </c>
      <c r="F14" s="1" t="s">
        <v>151</v>
      </c>
      <c r="G14" s="1" t="s">
        <v>148</v>
      </c>
      <c r="H14" s="1" t="s">
        <v>138</v>
      </c>
      <c r="I14" s="1" t="s">
        <v>131</v>
      </c>
      <c r="J14" s="1">
        <v>0</v>
      </c>
    </row>
    <row r="15" spans="1:10" ht="45" x14ac:dyDescent="0.25">
      <c r="A15" s="1" t="str">
        <f t="shared" si="0"/>
        <v>SA00756DE</v>
      </c>
      <c r="B15" s="2" t="str">
        <f>INDEX(Table1[[#All],[Product]:[Column7]],MATCH($A15,Table1[[#All],[Product]],0),MATCH(B$1,Table1[[#Headers],[Product]:[Column7]],0))</f>
        <v>Installation of Automatic Dependent Surveillance – Broadcast (ADS-B) Out Equipment using a Trig Avionics TT22 Transponder and an approved Global Positioning System (GPS) Position Sensor</v>
      </c>
      <c r="C15" s="1" t="str">
        <f t="shared" si="1"/>
        <v>STC Page</v>
      </c>
      <c r="D15" s="7">
        <f t="shared" si="2"/>
        <v>2</v>
      </c>
      <c r="E15" s="1">
        <v>14</v>
      </c>
      <c r="F15" s="1" t="s">
        <v>152</v>
      </c>
      <c r="G15" s="1" t="s">
        <v>153</v>
      </c>
      <c r="H15" s="1" t="s">
        <v>138</v>
      </c>
      <c r="I15" s="1" t="s">
        <v>131</v>
      </c>
      <c r="J15" s="1">
        <v>0</v>
      </c>
    </row>
    <row r="16" spans="1:10" ht="45" x14ac:dyDescent="0.25">
      <c r="A16" s="1" t="str">
        <f t="shared" si="0"/>
        <v>SA00765DE</v>
      </c>
      <c r="B16" s="2" t="str">
        <f>INDEX(Table1[[#All],[Product]:[Column7]],MATCH($A16,Table1[[#All],[Product]],0),MATCH(B$1,Table1[[#Headers],[Product]:[Column7]],0))</f>
        <v>Installation of Automatic Dependent Surveillance – Broadcast (ADS-B) Out functionality using the BendixKing KT74 Transponder and qualified position sensor</v>
      </c>
      <c r="C16" s="1" t="str">
        <f t="shared" si="1"/>
        <v>AML</v>
      </c>
      <c r="D16" s="7">
        <f t="shared" si="2"/>
        <v>2</v>
      </c>
      <c r="E16" s="1">
        <v>15</v>
      </c>
      <c r="F16" s="1" t="s">
        <v>154</v>
      </c>
      <c r="G16" s="1" t="s">
        <v>153</v>
      </c>
      <c r="H16" s="1" t="s">
        <v>138</v>
      </c>
      <c r="I16" s="1" t="s">
        <v>131</v>
      </c>
      <c r="J16" s="1">
        <v>0</v>
      </c>
    </row>
    <row r="17" spans="1:10" ht="75" x14ac:dyDescent="0.25">
      <c r="A17" s="1" t="str">
        <f t="shared" si="0"/>
        <v>ST00813DE</v>
      </c>
      <c r="B17" s="2" t="str">
        <f>INDEX(Table1[[#All],[Product]:[Column7]],MATCH($A17,Table1[[#All],[Product]],0),MATCH(B$1,Table1[[#Headers],[Product]:[Column7]],0))</f>
        <v>Replacement of Honeywell (formerly Sperry) ED-800 cathode ray tube (CRT) display, part number 7003110-90 I or 7003110-902, with Esterline CMC Electronics CMA-6800 multi-purpose liquid crystal display (LCD), in accordance with Master Drawing List, E-DI-15-0002, Rev. A, dated March 11, 2016, or later FAA approved revision.</v>
      </c>
      <c r="C17" s="1" t="str">
        <f t="shared" si="1"/>
        <v>AML</v>
      </c>
      <c r="D17" s="7">
        <f t="shared" si="2"/>
        <v>2</v>
      </c>
      <c r="E17" s="1">
        <v>16</v>
      </c>
      <c r="F17" s="1" t="s">
        <v>155</v>
      </c>
      <c r="G17" s="1" t="s">
        <v>153</v>
      </c>
      <c r="H17" s="1" t="s">
        <v>138</v>
      </c>
      <c r="I17" s="1" t="s">
        <v>131</v>
      </c>
      <c r="J17" s="1">
        <v>0</v>
      </c>
    </row>
    <row r="18" spans="1:10" ht="75" x14ac:dyDescent="0.25">
      <c r="A18" s="1" t="str">
        <f t="shared" si="0"/>
        <v>ST00813DE</v>
      </c>
      <c r="B18" s="2" t="str">
        <f>INDEX(Table1[[#All],[Product]:[Column7]],MATCH($A18,Table1[[#All],[Product]],0),MATCH(B$1,Table1[[#Headers],[Product]:[Column7]],0))</f>
        <v>Replacement of Honeywell (formerly Sperry) ED-800 cathode ray tube (CRT) display, part number 7003110-90 I or 7003110-902, with Esterline CMC Electronics CMA-6800 multi-purpose liquid crystal display (LCD), in accordance with Master Drawing List, E-DI-15-0002, Rev. A, dated March 11, 2016, or later FAA approved revision.</v>
      </c>
      <c r="C18" s="1" t="str">
        <f t="shared" si="1"/>
        <v>STC Page</v>
      </c>
      <c r="D18" s="7">
        <f t="shared" si="2"/>
        <v>2</v>
      </c>
      <c r="E18" s="1">
        <v>17</v>
      </c>
      <c r="F18" s="1" t="s">
        <v>156</v>
      </c>
      <c r="G18" s="1" t="s">
        <v>153</v>
      </c>
      <c r="H18" s="1" t="s">
        <v>138</v>
      </c>
      <c r="I18" s="1" t="s">
        <v>131</v>
      </c>
      <c r="J18" s="1">
        <v>0</v>
      </c>
    </row>
    <row r="19" spans="1:10" ht="30" x14ac:dyDescent="0.25">
      <c r="A19" s="1" t="s">
        <v>8</v>
      </c>
      <c r="B19" s="2" t="str">
        <f>INDEX(Table1[[#All],[Product]:[Column7]],MATCH($A19,Table1[[#All],[Product]],0),MATCH(B$1,Table1[[#Headers],[Product]:[Column7]],0))</f>
        <v>Installation of BendixKing CAS 67B Traffic Alert and Collision Avoidance System (TCAS) II Version 7.1</v>
      </c>
      <c r="C19" s="1" t="str">
        <f t="shared" si="1"/>
        <v>AML</v>
      </c>
      <c r="D19" s="7">
        <f t="shared" si="2"/>
        <v>1</v>
      </c>
      <c r="E19" s="1">
        <v>18</v>
      </c>
      <c r="F19" s="6" t="s">
        <v>157</v>
      </c>
      <c r="G19" s="1" t="s">
        <v>158</v>
      </c>
      <c r="H19" s="1" t="s">
        <v>159</v>
      </c>
      <c r="I19" s="1" t="s">
        <v>131</v>
      </c>
      <c r="J19" s="1">
        <v>0</v>
      </c>
    </row>
    <row r="20" spans="1:10" ht="45" x14ac:dyDescent="0.25">
      <c r="A20" s="1" t="s">
        <v>10</v>
      </c>
      <c r="B20" s="2" t="str">
        <f>INDEX(Table1[[#All],[Product]:[Column7]],MATCH($A20,Table1[[#All],[Product]],0),MATCH(B$1,Table1[[#Headers],[Product]:[Column7]],0))</f>
        <v>Installation of Automatic Dependent Surveillance – Broadcast (ADS-B) Out functionality using the Garmin G330ES or G33H ES Transponder and qualified position sensor</v>
      </c>
      <c r="C20" s="1" t="s">
        <v>169</v>
      </c>
      <c r="D20" s="7">
        <f t="shared" si="2"/>
        <v>1</v>
      </c>
      <c r="E20" s="1">
        <v>19</v>
      </c>
      <c r="F20" s="1" t="s">
        <v>160</v>
      </c>
      <c r="G20" s="1" t="s">
        <v>158</v>
      </c>
      <c r="H20" s="1" t="s">
        <v>159</v>
      </c>
      <c r="I20" s="1" t="s">
        <v>131</v>
      </c>
      <c r="J20" s="1">
        <v>0</v>
      </c>
    </row>
    <row r="21" spans="1:10" x14ac:dyDescent="0.25">
      <c r="B21" s="2" t="s">
        <v>170</v>
      </c>
      <c r="C21" s="1" t="s">
        <v>169</v>
      </c>
      <c r="D21" s="7">
        <f t="shared" si="2"/>
        <v>1</v>
      </c>
      <c r="E21" s="1">
        <v>20</v>
      </c>
      <c r="F21" s="1" t="s">
        <v>161</v>
      </c>
      <c r="G21" s="1" t="s">
        <v>158</v>
      </c>
      <c r="H21" s="1" t="s">
        <v>159</v>
      </c>
      <c r="I21" s="1" t="s">
        <v>131</v>
      </c>
      <c r="J21" s="1">
        <v>0</v>
      </c>
    </row>
    <row r="22" spans="1:10" x14ac:dyDescent="0.25">
      <c r="B22" s="2" t="s">
        <v>171</v>
      </c>
      <c r="C22" s="1" t="s">
        <v>169</v>
      </c>
      <c r="D22" s="7">
        <f t="shared" si="2"/>
        <v>1</v>
      </c>
      <c r="E22" s="1">
        <v>21</v>
      </c>
      <c r="F22" s="1" t="s">
        <v>162</v>
      </c>
      <c r="G22" s="1" t="s">
        <v>158</v>
      </c>
      <c r="H22" s="1" t="s">
        <v>159</v>
      </c>
      <c r="I22" s="1" t="s">
        <v>131</v>
      </c>
      <c r="J22" s="1">
        <v>0</v>
      </c>
    </row>
    <row r="23" spans="1:10" ht="30" x14ac:dyDescent="0.25">
      <c r="A23" s="1" t="str">
        <f>SUBSTITUTE(SUBSTITUTE(RIGHT(F23,LEN(F23)-SEARCH("01/",F23)-2),".pdf",""),"_AML","")</f>
        <v>SA00762DE</v>
      </c>
      <c r="B23" s="2" t="str">
        <f>INDEX(Table1[[#All],[Product]:[Column7]],MATCH($A23,Table1[[#All],[Product]],0),MATCH(B$1,Table1[[#Headers],[Product]:[Column7]],0))</f>
        <v>Installation of the MidContinent MD302 Standby Digital Flight Instrument System</v>
      </c>
      <c r="C23" s="1" t="str">
        <f>IF(LEN(F23)=LEN(SUBSTITUTE(F23,"AML","")),"STC Page","AML")</f>
        <v>STC Page</v>
      </c>
      <c r="D23" s="7">
        <f t="shared" si="2"/>
        <v>1</v>
      </c>
      <c r="E23" s="1">
        <v>22</v>
      </c>
      <c r="F23" s="1" t="s">
        <v>163</v>
      </c>
      <c r="G23" s="1" t="s">
        <v>158</v>
      </c>
      <c r="H23" s="1" t="s">
        <v>159</v>
      </c>
      <c r="I23" s="1" t="s">
        <v>131</v>
      </c>
      <c r="J23" s="1">
        <v>0</v>
      </c>
    </row>
    <row r="24" spans="1:10" ht="30" x14ac:dyDescent="0.25">
      <c r="A24" s="1" t="str">
        <f>SUBSTITUTE(SUBSTITUTE(RIGHT(F24,LEN(F24)-SEARCH("01/",F24)-2),".pdf",""),"_AML","")</f>
        <v>SA01031DE</v>
      </c>
      <c r="B24" s="2" t="str">
        <f>INDEX(Table1[[#All],[Product]:[Column7]],MATCH($A24,Table1[[#All],[Product]],0),MATCH(B$1,Table1[[#Headers],[Product]:[Column7]],0))</f>
        <v>Installation of the Garmin GSR 56 SATCOM transceiver and Flightstream 210 transceiver</v>
      </c>
      <c r="C24" s="1" t="str">
        <f>IF(LEN(F24)=LEN(SUBSTITUTE(F24,"AML","")),"STC Page","AML")</f>
        <v>STC Page</v>
      </c>
      <c r="D24" s="7">
        <f t="shared" si="2"/>
        <v>1</v>
      </c>
      <c r="E24" s="1">
        <v>23</v>
      </c>
      <c r="F24" s="1" t="s">
        <v>164</v>
      </c>
      <c r="G24" s="1" t="s">
        <v>158</v>
      </c>
      <c r="H24" s="1" t="s">
        <v>159</v>
      </c>
      <c r="I24" s="1" t="s">
        <v>131</v>
      </c>
      <c r="J24" s="1">
        <v>0</v>
      </c>
    </row>
    <row r="25" spans="1:10" x14ac:dyDescent="0.25">
      <c r="A25" s="1" t="str">
        <f>SUBSTITUTE(SUBSTITUTE(RIGHT(F25,LEN(F25)-SEARCH("01/",F25)-2),".pdf",""),"_AML","")</f>
        <v>SA01835WI</v>
      </c>
      <c r="B25" s="2" t="str">
        <f>INDEX(Table1[[#All],[Product]:[Column7]],MATCH($A25,Table1[[#All],[Product]],0),MATCH(B$1,Table1[[#Headers],[Product]:[Column7]],0))</f>
        <v>Installation of Trig Avionics TY-96 or TY-97 VHF Communications Radio</v>
      </c>
      <c r="C25" s="1" t="str">
        <f>IF(LEN(F25)=LEN(SUBSTITUTE(F25,"AML","")),"STC Page","AML")</f>
        <v>AML</v>
      </c>
      <c r="D25" s="7">
        <f t="shared" si="2"/>
        <v>1</v>
      </c>
      <c r="E25" s="1">
        <v>24</v>
      </c>
      <c r="F25" s="1" t="s">
        <v>165</v>
      </c>
      <c r="G25" s="1" t="s">
        <v>158</v>
      </c>
      <c r="H25" s="1" t="s">
        <v>159</v>
      </c>
      <c r="I25" s="1" t="s">
        <v>131</v>
      </c>
      <c r="J25" s="1">
        <v>0</v>
      </c>
    </row>
    <row r="26" spans="1:10" ht="45" x14ac:dyDescent="0.25">
      <c r="A26" s="1" t="str">
        <f>SUBSTITUTE(SUBSTITUTE(RIGHT(F26,LEN(F26)-SEARCH("01/",F26)-2),".pdf",""),"_AML","")</f>
        <v>SR00851DE</v>
      </c>
      <c r="B26" s="2" t="str">
        <f>INDEX(Table1[[#All],[Product]:[Column7]],MATCH($A26,Table1[[#All],[Product]],0),MATCH(B$1,Table1[[#Headers],[Product]:[Column7]],0))</f>
        <v>Installation of Automatic Dependent Surveillance – Broadcast (ADS-B) Out functionality using the Garmin GTX 330ES transponder and a qualified position sensor</v>
      </c>
      <c r="C26" s="1" t="str">
        <f>IF(LEN(F26)=LEN(SUBSTITUTE(F26,"AML","")),"STC Page","AML")</f>
        <v>AML</v>
      </c>
      <c r="D26" s="7">
        <f t="shared" si="2"/>
        <v>1</v>
      </c>
      <c r="E26" s="1">
        <v>25</v>
      </c>
      <c r="F26" s="1" t="s">
        <v>166</v>
      </c>
      <c r="G26" s="1" t="s">
        <v>158</v>
      </c>
      <c r="H26" s="1" t="s">
        <v>159</v>
      </c>
      <c r="I26" s="1" t="s">
        <v>131</v>
      </c>
      <c r="J26" s="1">
        <v>0</v>
      </c>
    </row>
  </sheetData>
  <hyperlinks>
    <hyperlink ref="F19" r:id="rId1" xr:uid="{ABDCFB56-E96F-4D12-803E-8FEB299963DF}"/>
  </hyperlinks>
  <pageMargins left="0.7" right="0.7" top="0.75" bottom="0.75" header="0.3" footer="0.3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DF34C-1D28-46F4-BCA0-8BBE19829FB2}">
  <sheetPr codeName="Sheet6"/>
  <dimension ref="A1"/>
  <sheetViews>
    <sheetView workbookViewId="0">
      <selection activeCell="G31" sqref="G3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Cheat Sheet</vt:lpstr>
      <vt:lpstr>Sheet1</vt:lpstr>
      <vt:lpstr>Sheet3</vt:lpstr>
      <vt:lpstr>Sheet2</vt:lpstr>
      <vt:lpstr>Analytics</vt:lpstr>
      <vt:lpstr>Press Releases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Carlson</dc:creator>
  <cp:lastModifiedBy>Lee Carlson</cp:lastModifiedBy>
  <dcterms:created xsi:type="dcterms:W3CDTF">2020-08-30T15:02:48Z</dcterms:created>
  <dcterms:modified xsi:type="dcterms:W3CDTF">2022-01-31T20:57:28Z</dcterms:modified>
</cp:coreProperties>
</file>